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hard Plum\Google Drive\Haufe\Mein Businessplan\U 30 Center\"/>
    </mc:Choice>
  </mc:AlternateContent>
  <bookViews>
    <workbookView xWindow="0" yWindow="0" windowWidth="20160" windowHeight="7608" activeTab="1"/>
  </bookViews>
  <sheets>
    <sheet name="Mitarbeiterplan" sheetId="6" r:id="rId1"/>
    <sheet name="Entwicklung Kundenzahl" sheetId="7" r:id="rId2"/>
    <sheet name="Abschreibungen Anlagevermögen" sheetId="8" r:id="rId3"/>
    <sheet name="Kapitalbedarfsplan" sheetId="1" r:id="rId4"/>
    <sheet name="Liquiditätsplan" sheetId="3" r:id="rId5"/>
    <sheet name="Gewinn- und Verlustrechnung" sheetId="10" r:id="rId6"/>
    <sheet name="Bilanzen" sheetId="4" r:id="rId7"/>
    <sheet name="Bilanzanalyse" sheetId="14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0" l="1"/>
  <c r="E10" i="3"/>
  <c r="D38" i="3"/>
  <c r="G11" i="10" l="1"/>
  <c r="U23" i="3"/>
  <c r="G18" i="10"/>
  <c r="E18" i="10"/>
  <c r="W10" i="3"/>
  <c r="V10" i="3"/>
  <c r="R10" i="3"/>
  <c r="S10" i="3"/>
  <c r="T10" i="3"/>
  <c r="Q10" i="3"/>
  <c r="T15" i="3"/>
  <c r="T8" i="3"/>
  <c r="T39" i="3" s="1"/>
  <c r="U39" i="3" s="1"/>
  <c r="U19" i="3"/>
  <c r="T19" i="3"/>
  <c r="U21" i="3"/>
  <c r="U40" i="3"/>
  <c r="U38" i="3"/>
  <c r="U37" i="3"/>
  <c r="U35" i="3"/>
  <c r="U34" i="3"/>
  <c r="U32" i="3"/>
  <c r="U31" i="3"/>
  <c r="U30" i="3"/>
  <c r="U29" i="3"/>
  <c r="U28" i="3"/>
  <c r="U27" i="3"/>
  <c r="U26" i="3"/>
  <c r="U25" i="3"/>
  <c r="U24" i="3"/>
  <c r="U22" i="3"/>
  <c r="U20" i="3"/>
  <c r="U11" i="3"/>
  <c r="U9" i="3"/>
  <c r="U6" i="3"/>
  <c r="T23" i="3"/>
  <c r="T7" i="3"/>
  <c r="U7" i="3"/>
  <c r="Q7" i="3"/>
  <c r="R7" i="3"/>
  <c r="S7" i="3"/>
  <c r="S13" i="3" s="1"/>
  <c r="S8" i="3"/>
  <c r="R11" i="3"/>
  <c r="S11" i="3" s="1"/>
  <c r="Q15" i="3"/>
  <c r="Q8" i="3" s="1"/>
  <c r="R15" i="3"/>
  <c r="R8" i="3" s="1"/>
  <c r="S15" i="3"/>
  <c r="Q19" i="3"/>
  <c r="R19" i="3"/>
  <c r="S19" i="3"/>
  <c r="Q20" i="3"/>
  <c r="R20" i="3"/>
  <c r="S20" i="3"/>
  <c r="T20" i="3"/>
  <c r="Q21" i="3"/>
  <c r="R21" i="3"/>
  <c r="S21" i="3"/>
  <c r="T21" i="3"/>
  <c r="Q23" i="3"/>
  <c r="R23" i="3"/>
  <c r="S23" i="3"/>
  <c r="Q24" i="3"/>
  <c r="R24" i="3"/>
  <c r="S24" i="3"/>
  <c r="T24" i="3"/>
  <c r="Q25" i="3"/>
  <c r="R25" i="3"/>
  <c r="S25" i="3"/>
  <c r="T25" i="3"/>
  <c r="Q27" i="3"/>
  <c r="R27" i="3"/>
  <c r="S27" i="3"/>
  <c r="T27" i="3"/>
  <c r="Q30" i="3"/>
  <c r="R30" i="3"/>
  <c r="S30" i="3"/>
  <c r="T30" i="3"/>
  <c r="Q31" i="3"/>
  <c r="R31" i="3"/>
  <c r="S31" i="3"/>
  <c r="T31" i="3"/>
  <c r="Q40" i="3"/>
  <c r="X6" i="3"/>
  <c r="O39" i="3"/>
  <c r="T40" i="4"/>
  <c r="T39" i="4"/>
  <c r="T37" i="4"/>
  <c r="T36" i="4"/>
  <c r="T35" i="4"/>
  <c r="T34" i="4"/>
  <c r="T32" i="4"/>
  <c r="T31" i="4"/>
  <c r="T30" i="4"/>
  <c r="T29" i="4"/>
  <c r="T24" i="4"/>
  <c r="T23" i="4"/>
  <c r="T22" i="4"/>
  <c r="T21" i="4"/>
  <c r="T20" i="4"/>
  <c r="T19" i="4"/>
  <c r="T17" i="4"/>
  <c r="T15" i="4"/>
  <c r="T14" i="4"/>
  <c r="T12" i="4"/>
  <c r="T11" i="4"/>
  <c r="T10" i="4"/>
  <c r="T9" i="4"/>
  <c r="T87" i="4"/>
  <c r="T85" i="4"/>
  <c r="T83" i="4"/>
  <c r="T82" i="4"/>
  <c r="T81" i="4"/>
  <c r="T80" i="4"/>
  <c r="T79" i="4"/>
  <c r="T78" i="4"/>
  <c r="T77" i="4"/>
  <c r="T76" i="4"/>
  <c r="T74" i="4"/>
  <c r="T73" i="4"/>
  <c r="T69" i="4"/>
  <c r="T67" i="4"/>
  <c r="T61" i="4"/>
  <c r="T60" i="4"/>
  <c r="T59" i="4"/>
  <c r="T58" i="4"/>
  <c r="T57" i="4"/>
  <c r="X39" i="3"/>
  <c r="W39" i="3"/>
  <c r="V39" i="3"/>
  <c r="T47" i="4"/>
  <c r="T45" i="4"/>
  <c r="T43" i="4"/>
  <c r="S56" i="4"/>
  <c r="S55" i="4"/>
  <c r="H25" i="10"/>
  <c r="H24" i="10"/>
  <c r="H23" i="10"/>
  <c r="H22" i="10"/>
  <c r="H17" i="10"/>
  <c r="H7" i="10"/>
  <c r="H6" i="10"/>
  <c r="F25" i="10"/>
  <c r="F24" i="10"/>
  <c r="F23" i="10"/>
  <c r="F22" i="10"/>
  <c r="F17" i="10"/>
  <c r="F6" i="10"/>
  <c r="F7" i="10"/>
  <c r="M87" i="4"/>
  <c r="M85" i="4"/>
  <c r="M83" i="4"/>
  <c r="M82" i="4"/>
  <c r="M81" i="4"/>
  <c r="M80" i="4"/>
  <c r="M79" i="4"/>
  <c r="M78" i="4"/>
  <c r="M77" i="4"/>
  <c r="M76" i="4"/>
  <c r="M74" i="4"/>
  <c r="M73" i="4"/>
  <c r="M69" i="4"/>
  <c r="M67" i="4"/>
  <c r="M61" i="4"/>
  <c r="M60" i="4"/>
  <c r="M59" i="4"/>
  <c r="M58" i="4"/>
  <c r="M57" i="4"/>
  <c r="M47" i="4"/>
  <c r="M45" i="4"/>
  <c r="M43" i="4"/>
  <c r="M40" i="4"/>
  <c r="M39" i="4"/>
  <c r="M37" i="4"/>
  <c r="M36" i="4"/>
  <c r="M35" i="4"/>
  <c r="M34" i="4"/>
  <c r="M32" i="4"/>
  <c r="M31" i="4"/>
  <c r="M30" i="4"/>
  <c r="M29" i="4"/>
  <c r="M24" i="4"/>
  <c r="M23" i="4"/>
  <c r="M22" i="4"/>
  <c r="M21" i="4"/>
  <c r="M20" i="4"/>
  <c r="M19" i="4"/>
  <c r="M17" i="4"/>
  <c r="M15" i="4"/>
  <c r="M14" i="4"/>
  <c r="M12" i="4"/>
  <c r="M11" i="4"/>
  <c r="M10" i="4"/>
  <c r="M9" i="4"/>
  <c r="L55" i="4"/>
  <c r="G16" i="10"/>
  <c r="H16" i="10" s="1"/>
  <c r="E29" i="10"/>
  <c r="G29" i="10"/>
  <c r="E16" i="10"/>
  <c r="F16" i="10" s="1"/>
  <c r="D16" i="10"/>
  <c r="T55" i="4" l="1"/>
  <c r="M55" i="4"/>
  <c r="U10" i="3"/>
  <c r="U8" i="3"/>
  <c r="R13" i="3"/>
  <c r="R39" i="3"/>
  <c r="Q13" i="3"/>
  <c r="Q39" i="3"/>
  <c r="T11" i="3"/>
  <c r="T13" i="3" s="1"/>
  <c r="S39" i="3"/>
  <c r="H29" i="10"/>
  <c r="E5" i="8"/>
  <c r="E6" i="8"/>
  <c r="E7" i="8"/>
  <c r="E8" i="8"/>
  <c r="E9" i="8"/>
  <c r="E4" i="8"/>
  <c r="I4" i="8"/>
  <c r="D29" i="10"/>
  <c r="F29" i="10" s="1"/>
  <c r="P21" i="3"/>
  <c r="D11" i="10"/>
  <c r="P40" i="3"/>
  <c r="P9" i="3"/>
  <c r="P11" i="3"/>
  <c r="D34" i="3"/>
  <c r="F56" i="4"/>
  <c r="W15" i="3"/>
  <c r="V15" i="3"/>
  <c r="E33" i="3"/>
  <c r="F33" i="3"/>
  <c r="G33" i="3"/>
  <c r="H33" i="3"/>
  <c r="I33" i="3"/>
  <c r="J33" i="3"/>
  <c r="K33" i="3"/>
  <c r="L33" i="3"/>
  <c r="M33" i="3"/>
  <c r="N33" i="3"/>
  <c r="O33" i="3"/>
  <c r="D57" i="1"/>
  <c r="D23" i="1"/>
  <c r="F5" i="8"/>
  <c r="G5" i="8" s="1"/>
  <c r="I5" i="8" s="1"/>
  <c r="D4" i="7"/>
  <c r="E4" i="7" s="1"/>
  <c r="F4" i="7" s="1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D7" i="3"/>
  <c r="W31" i="3"/>
  <c r="W30" i="3"/>
  <c r="W27" i="3"/>
  <c r="V25" i="3"/>
  <c r="W24" i="3"/>
  <c r="V23" i="3"/>
  <c r="W21" i="3"/>
  <c r="F19" i="3"/>
  <c r="J19" i="3"/>
  <c r="N19" i="3"/>
  <c r="F18" i="6"/>
  <c r="F19" i="6" s="1"/>
  <c r="W19" i="3" s="1"/>
  <c r="E18" i="6"/>
  <c r="E19" i="6" s="1"/>
  <c r="D18" i="6"/>
  <c r="D19" i="6" s="1"/>
  <c r="G19" i="3" s="1"/>
  <c r="E17" i="6"/>
  <c r="F17" i="6"/>
  <c r="D17" i="6"/>
  <c r="E12" i="6"/>
  <c r="F12" i="6"/>
  <c r="F13" i="6" s="1"/>
  <c r="D12" i="6"/>
  <c r="D13" i="6" s="1"/>
  <c r="X38" i="3"/>
  <c r="X37" i="3"/>
  <c r="X34" i="3"/>
  <c r="X32" i="3"/>
  <c r="X29" i="3"/>
  <c r="X28" i="3"/>
  <c r="X26" i="3"/>
  <c r="X22" i="3"/>
  <c r="X9" i="3"/>
  <c r="D24" i="1"/>
  <c r="D25" i="1"/>
  <c r="D26" i="1"/>
  <c r="D27" i="1"/>
  <c r="D28" i="1"/>
  <c r="D29" i="1"/>
  <c r="D30" i="1"/>
  <c r="D31" i="1"/>
  <c r="D32" i="1"/>
  <c r="D33" i="1"/>
  <c r="D34" i="1"/>
  <c r="D35" i="1"/>
  <c r="D38" i="1"/>
  <c r="C40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21" i="1"/>
  <c r="D15" i="3"/>
  <c r="D8" i="3" s="1"/>
  <c r="P6" i="3"/>
  <c r="P14" i="3"/>
  <c r="E14" i="6" l="1"/>
  <c r="E13" i="6"/>
  <c r="D14" i="6"/>
  <c r="L18" i="3" s="1"/>
  <c r="L56" i="4"/>
  <c r="T33" i="3"/>
  <c r="R33" i="3"/>
  <c r="S33" i="3"/>
  <c r="Q33" i="3"/>
  <c r="E11" i="10"/>
  <c r="F11" i="10" s="1"/>
  <c r="M19" i="3"/>
  <c r="I19" i="3"/>
  <c r="E19" i="3"/>
  <c r="D19" i="3"/>
  <c r="D22" i="1" s="1"/>
  <c r="L19" i="3"/>
  <c r="H19" i="3"/>
  <c r="V19" i="3"/>
  <c r="O19" i="3"/>
  <c r="K19" i="3"/>
  <c r="W23" i="3"/>
  <c r="E39" i="3"/>
  <c r="G4" i="8"/>
  <c r="F4" i="8"/>
  <c r="F7" i="8"/>
  <c r="G7" i="8" s="1"/>
  <c r="I7" i="8" s="1"/>
  <c r="F6" i="8"/>
  <c r="G6" i="8" s="1"/>
  <c r="I6" i="8" s="1"/>
  <c r="E10" i="8"/>
  <c r="D8" i="1"/>
  <c r="D37" i="1"/>
  <c r="V31" i="3"/>
  <c r="X31" i="3" s="1"/>
  <c r="V21" i="3"/>
  <c r="X21" i="3" s="1"/>
  <c r="V24" i="3"/>
  <c r="X24" i="3" s="1"/>
  <c r="V27" i="3"/>
  <c r="X27" i="3" s="1"/>
  <c r="W25" i="3"/>
  <c r="X25" i="3" s="1"/>
  <c r="U15" i="3"/>
  <c r="W20" i="3"/>
  <c r="V20" i="3"/>
  <c r="V30" i="3"/>
  <c r="X30" i="3" s="1"/>
  <c r="F9" i="8"/>
  <c r="F8" i="8"/>
  <c r="G8" i="8" s="1"/>
  <c r="I8" i="8" s="1"/>
  <c r="P20" i="3"/>
  <c r="N7" i="3"/>
  <c r="T4" i="7"/>
  <c r="K7" i="3"/>
  <c r="G7" i="3"/>
  <c r="J7" i="3"/>
  <c r="F7" i="3"/>
  <c r="M7" i="3"/>
  <c r="I7" i="3"/>
  <c r="E7" i="3"/>
  <c r="L7" i="3"/>
  <c r="H7" i="3"/>
  <c r="X23" i="3"/>
  <c r="X19" i="3"/>
  <c r="F14" i="6"/>
  <c r="F15" i="3"/>
  <c r="E15" i="3"/>
  <c r="S18" i="3" l="1"/>
  <c r="Q18" i="3"/>
  <c r="T18" i="3"/>
  <c r="R18" i="3"/>
  <c r="E18" i="3"/>
  <c r="M18" i="3"/>
  <c r="O18" i="3"/>
  <c r="G18" i="3"/>
  <c r="N18" i="3"/>
  <c r="F18" i="3"/>
  <c r="J18" i="3"/>
  <c r="H18" i="3"/>
  <c r="I18" i="3"/>
  <c r="K18" i="3"/>
  <c r="D18" i="3"/>
  <c r="T56" i="4"/>
  <c r="M56" i="4"/>
  <c r="U33" i="3"/>
  <c r="H18" i="10"/>
  <c r="E10" i="10"/>
  <c r="W18" i="3"/>
  <c r="V18" i="3"/>
  <c r="X18" i="3" s="1"/>
  <c r="F10" i="3"/>
  <c r="G10" i="3"/>
  <c r="P19" i="3"/>
  <c r="F10" i="8"/>
  <c r="G9" i="8"/>
  <c r="I9" i="8" s="1"/>
  <c r="I10" i="8" s="1"/>
  <c r="F8" i="3"/>
  <c r="G39" i="3" s="1"/>
  <c r="X20" i="3"/>
  <c r="O7" i="3"/>
  <c r="E8" i="3"/>
  <c r="D18" i="1"/>
  <c r="G15" i="3"/>
  <c r="H15" i="3"/>
  <c r="U18" i="3" l="1"/>
  <c r="D21" i="1"/>
  <c r="P18" i="3"/>
  <c r="D13" i="10" s="1"/>
  <c r="D14" i="10" s="1"/>
  <c r="H11" i="10"/>
  <c r="G13" i="10"/>
  <c r="I10" i="3"/>
  <c r="H10" i="3"/>
  <c r="F13" i="3"/>
  <c r="E13" i="10"/>
  <c r="G10" i="8"/>
  <c r="F16" i="4"/>
  <c r="F39" i="3"/>
  <c r="G8" i="3"/>
  <c r="H8" i="3"/>
  <c r="X10" i="3"/>
  <c r="I15" i="3"/>
  <c r="D51" i="1"/>
  <c r="D12" i="1"/>
  <c r="P37" i="3"/>
  <c r="P35" i="3"/>
  <c r="P31" i="3"/>
  <c r="P29" i="3"/>
  <c r="P27" i="3"/>
  <c r="P25" i="3"/>
  <c r="P23" i="3"/>
  <c r="F13" i="10" l="1"/>
  <c r="L16" i="4"/>
  <c r="G14" i="10"/>
  <c r="H13" i="10"/>
  <c r="E14" i="10"/>
  <c r="H39" i="3"/>
  <c r="G13" i="3"/>
  <c r="J10" i="3"/>
  <c r="I39" i="3"/>
  <c r="H13" i="3"/>
  <c r="E13" i="3"/>
  <c r="I8" i="3"/>
  <c r="J15" i="3"/>
  <c r="P22" i="3"/>
  <c r="P26" i="3"/>
  <c r="P30" i="3"/>
  <c r="P34" i="3"/>
  <c r="P38" i="3"/>
  <c r="P24" i="3"/>
  <c r="P28" i="3"/>
  <c r="P32" i="3"/>
  <c r="M16" i="4" l="1"/>
  <c r="S16" i="4"/>
  <c r="F14" i="10"/>
  <c r="H14" i="10"/>
  <c r="J39" i="3"/>
  <c r="I13" i="3"/>
  <c r="F18" i="10"/>
  <c r="K10" i="3"/>
  <c r="J8" i="3"/>
  <c r="J13" i="3" s="1"/>
  <c r="K15" i="3"/>
  <c r="T16" i="4" l="1"/>
  <c r="L10" i="3"/>
  <c r="K39" i="3"/>
  <c r="V7" i="3"/>
  <c r="K8" i="3"/>
  <c r="K13" i="3" s="1"/>
  <c r="L15" i="3"/>
  <c r="E5" i="10" l="1"/>
  <c r="M10" i="3"/>
  <c r="E8" i="10"/>
  <c r="E20" i="10" s="1"/>
  <c r="D23" i="14" s="1"/>
  <c r="L39" i="3"/>
  <c r="W7" i="3"/>
  <c r="V8" i="3"/>
  <c r="L8" i="3"/>
  <c r="L13" i="3" s="1"/>
  <c r="M15" i="3"/>
  <c r="N10" i="3" l="1"/>
  <c r="M39" i="3"/>
  <c r="X15" i="3"/>
  <c r="X7" i="3"/>
  <c r="G5" i="10" s="1"/>
  <c r="H5" i="10" s="1"/>
  <c r="N15" i="3"/>
  <c r="M8" i="3"/>
  <c r="N39" i="3" l="1"/>
  <c r="M13" i="3"/>
  <c r="O10" i="3"/>
  <c r="P10" i="3" s="1"/>
  <c r="G10" i="10"/>
  <c r="H10" i="10" s="1"/>
  <c r="W8" i="3"/>
  <c r="N8" i="3"/>
  <c r="N13" i="3" s="1"/>
  <c r="O15" i="3"/>
  <c r="P7" i="3"/>
  <c r="D5" i="10" s="1"/>
  <c r="F5" i="10" s="1"/>
  <c r="P39" i="3" l="1"/>
  <c r="X8" i="3"/>
  <c r="O8" i="3"/>
  <c r="P15" i="3"/>
  <c r="D10" i="10" l="1"/>
  <c r="F10" i="10" s="1"/>
  <c r="G8" i="10"/>
  <c r="O13" i="3"/>
  <c r="P8" i="3"/>
  <c r="F68" i="4"/>
  <c r="U13" i="3"/>
  <c r="G20" i="10" l="1"/>
  <c r="H8" i="10"/>
  <c r="D8" i="10"/>
  <c r="P13" i="3"/>
  <c r="K36" i="3"/>
  <c r="K42" i="3" s="1"/>
  <c r="K44" i="3" s="1"/>
  <c r="I36" i="3"/>
  <c r="I42" i="3" s="1"/>
  <c r="I44" i="3" s="1"/>
  <c r="N36" i="3"/>
  <c r="N42" i="3" s="1"/>
  <c r="N44" i="3" s="1"/>
  <c r="H36" i="3"/>
  <c r="H42" i="3" s="1"/>
  <c r="H44" i="3" s="1"/>
  <c r="M36" i="3"/>
  <c r="M42" i="3" s="1"/>
  <c r="M44" i="3" s="1"/>
  <c r="L36" i="3"/>
  <c r="L42" i="3" s="1"/>
  <c r="L44" i="3" s="1"/>
  <c r="F36" i="3"/>
  <c r="F42" i="3" s="1"/>
  <c r="F44" i="3" s="1"/>
  <c r="G36" i="3"/>
  <c r="G42" i="3" s="1"/>
  <c r="G44" i="3" s="1"/>
  <c r="E36" i="3"/>
  <c r="E42" i="3" s="1"/>
  <c r="E44" i="3" s="1"/>
  <c r="J36" i="3"/>
  <c r="J42" i="3" s="1"/>
  <c r="J44" i="3" s="1"/>
  <c r="D36" i="3"/>
  <c r="O36" i="3"/>
  <c r="D13" i="3"/>
  <c r="D33" i="3"/>
  <c r="D42" i="3" s="1"/>
  <c r="H20" i="10" l="1"/>
  <c r="E23" i="14"/>
  <c r="O42" i="3"/>
  <c r="O44" i="3" s="1"/>
  <c r="Q36" i="3"/>
  <c r="T36" i="3"/>
  <c r="U36" i="3" s="1"/>
  <c r="R36" i="3"/>
  <c r="S36" i="3"/>
  <c r="D44" i="3"/>
  <c r="D20" i="10"/>
  <c r="F8" i="10"/>
  <c r="D39" i="1"/>
  <c r="D36" i="1"/>
  <c r="P33" i="3"/>
  <c r="V33" i="3"/>
  <c r="W33" i="3"/>
  <c r="V13" i="3"/>
  <c r="W11" i="3"/>
  <c r="W13" i="3" s="1"/>
  <c r="T42" i="3"/>
  <c r="T44" i="3" s="1"/>
  <c r="P36" i="3"/>
  <c r="F75" i="4" s="1"/>
  <c r="S42" i="3"/>
  <c r="R42" i="3"/>
  <c r="P42" i="3" l="1"/>
  <c r="P44" i="3" s="1"/>
  <c r="C23" i="14"/>
  <c r="L75" i="4"/>
  <c r="E26" i="10"/>
  <c r="Q42" i="3"/>
  <c r="U42" i="3" s="1"/>
  <c r="D43" i="1"/>
  <c r="D53" i="1" s="1"/>
  <c r="D55" i="1" s="1"/>
  <c r="D59" i="1" s="1"/>
  <c r="F20" i="10"/>
  <c r="D26" i="10"/>
  <c r="R44" i="3"/>
  <c r="S44" i="3"/>
  <c r="X11" i="3"/>
  <c r="X13" i="3" s="1"/>
  <c r="X33" i="3"/>
  <c r="V36" i="3"/>
  <c r="W36" i="3"/>
  <c r="Q44" i="3" l="1"/>
  <c r="F26" i="10"/>
  <c r="M75" i="4"/>
  <c r="S75" i="4" s="1"/>
  <c r="T75" i="4" s="1"/>
  <c r="G26" i="10"/>
  <c r="E35" i="10"/>
  <c r="E36" i="10" s="1"/>
  <c r="E37" i="10"/>
  <c r="D35" i="10"/>
  <c r="D36" i="10" s="1"/>
  <c r="W42" i="3"/>
  <c r="W44" i="3" s="1"/>
  <c r="D37" i="10"/>
  <c r="E46" i="3"/>
  <c r="E48" i="3" s="1"/>
  <c r="D48" i="3"/>
  <c r="U44" i="3"/>
  <c r="X36" i="3"/>
  <c r="E38" i="10" l="1"/>
  <c r="H26" i="10"/>
  <c r="G37" i="10"/>
  <c r="G35" i="10"/>
  <c r="G36" i="10" s="1"/>
  <c r="D38" i="10"/>
  <c r="D27" i="10" s="1"/>
  <c r="F46" i="3"/>
  <c r="F48" i="3" s="1"/>
  <c r="E27" i="10" l="1"/>
  <c r="L68" i="4" s="1"/>
  <c r="G38" i="10"/>
  <c r="G27" i="10" s="1"/>
  <c r="G28" i="10" s="1"/>
  <c r="G30" i="10" s="1"/>
  <c r="S63" i="4" s="1"/>
  <c r="D28" i="10"/>
  <c r="G46" i="3"/>
  <c r="G48" i="3" s="1"/>
  <c r="M68" i="4" l="1"/>
  <c r="V35" i="3"/>
  <c r="V42" i="3" s="1"/>
  <c r="V44" i="3" s="1"/>
  <c r="F27" i="10"/>
  <c r="E28" i="10"/>
  <c r="E30" i="10" s="1"/>
  <c r="L63" i="4" s="1"/>
  <c r="T63" i="4" s="1"/>
  <c r="S68" i="4"/>
  <c r="H27" i="10"/>
  <c r="D30" i="10"/>
  <c r="H46" i="3"/>
  <c r="H48" i="3" s="1"/>
  <c r="X35" i="3" l="1"/>
  <c r="X42" i="3" s="1"/>
  <c r="X44" i="3" s="1"/>
  <c r="T68" i="4"/>
  <c r="F28" i="10"/>
  <c r="H28" i="10"/>
  <c r="H30" i="10"/>
  <c r="F63" i="4"/>
  <c r="F30" i="10"/>
  <c r="I46" i="3"/>
  <c r="I48" i="3" s="1"/>
  <c r="C12" i="14" l="1"/>
  <c r="C11" i="14"/>
  <c r="C21" i="14"/>
  <c r="L62" i="4"/>
  <c r="M63" i="4"/>
  <c r="S62" i="4"/>
  <c r="D21" i="14" l="1"/>
  <c r="D12" i="14"/>
  <c r="D11" i="14"/>
  <c r="E21" i="14"/>
  <c r="E11" i="14"/>
  <c r="E12" i="14"/>
  <c r="S89" i="4"/>
  <c r="T62" i="4"/>
  <c r="T89" i="4" s="1"/>
  <c r="L89" i="4"/>
  <c r="M62" i="4"/>
  <c r="M89" i="4" s="1"/>
  <c r="J46" i="3"/>
  <c r="J48" i="3" s="1"/>
  <c r="D24" i="14" l="1"/>
  <c r="D5" i="14"/>
  <c r="D22" i="14"/>
  <c r="C24" i="14"/>
  <c r="D6" i="14"/>
  <c r="E24" i="14"/>
  <c r="E5" i="14"/>
  <c r="E6" i="14"/>
  <c r="E22" i="14"/>
  <c r="K46" i="3"/>
  <c r="K48" i="3" s="1"/>
  <c r="L46" i="3" l="1"/>
  <c r="L48" i="3" s="1"/>
  <c r="M46" i="3" l="1"/>
  <c r="M48" i="3" s="1"/>
  <c r="N46" i="3" l="1"/>
  <c r="N48" i="3" s="1"/>
  <c r="O46" i="3" l="1"/>
  <c r="O48" i="3" s="1"/>
  <c r="F41" i="4" l="1"/>
  <c r="C17" i="14" s="1"/>
  <c r="Q46" i="3"/>
  <c r="Q48" i="3" s="1"/>
  <c r="F49" i="4" l="1"/>
  <c r="R46" i="3"/>
  <c r="R48" i="3" s="1"/>
  <c r="C7" i="14" l="1"/>
  <c r="C8" i="14"/>
  <c r="S46" i="3"/>
  <c r="S48" i="3" s="1"/>
  <c r="T46" i="3" l="1"/>
  <c r="T48" i="3" s="1"/>
  <c r="L41" i="4" l="1"/>
  <c r="V46" i="3"/>
  <c r="D18" i="14" l="1"/>
  <c r="C18" i="14"/>
  <c r="D17" i="14"/>
  <c r="L49" i="4"/>
  <c r="M41" i="4"/>
  <c r="M49" i="4" s="1"/>
  <c r="V48" i="3"/>
  <c r="W46" i="3" s="1"/>
  <c r="W48" i="3" s="1"/>
  <c r="D7" i="14" l="1"/>
  <c r="D8" i="14"/>
  <c r="S41" i="4"/>
  <c r="E17" i="14" l="1"/>
  <c r="E18" i="14"/>
  <c r="T41" i="4"/>
  <c r="T49" i="4" s="1"/>
  <c r="S49" i="4"/>
  <c r="F89" i="4"/>
  <c r="E7" i="14" l="1"/>
  <c r="E8" i="14"/>
  <c r="C22" i="14"/>
  <c r="C6" i="14"/>
  <c r="C5" i="14"/>
</calcChain>
</file>

<file path=xl/sharedStrings.xml><?xml version="1.0" encoding="utf-8"?>
<sst xmlns="http://schemas.openxmlformats.org/spreadsheetml/2006/main" count="688" uniqueCount="284">
  <si>
    <t>Eigenkapital</t>
  </si>
  <si>
    <t>Euro</t>
  </si>
  <si>
    <t>1. Jahr</t>
  </si>
  <si>
    <t>2. Jahr</t>
  </si>
  <si>
    <t>3. Jahr</t>
  </si>
  <si>
    <t>1.</t>
  </si>
  <si>
    <t>Umsatzerlöse</t>
  </si>
  <si>
    <t>2.</t>
  </si>
  <si>
    <t>3.</t>
  </si>
  <si>
    <t>4.</t>
  </si>
  <si>
    <t>5.</t>
  </si>
  <si>
    <t>Kraftfahrzeugkosten</t>
  </si>
  <si>
    <t>Reisekosten</t>
  </si>
  <si>
    <t>Telefon, Fax, Internet</t>
  </si>
  <si>
    <t>Büromaterial</t>
  </si>
  <si>
    <t>Verpackung</t>
  </si>
  <si>
    <t>Reparatur / Instandhaltung</t>
  </si>
  <si>
    <t>Beiträge</t>
  </si>
  <si>
    <t>Leasing</t>
  </si>
  <si>
    <t>Beratung / Buchführung</t>
  </si>
  <si>
    <t>Sonstige Aufwendungen</t>
  </si>
  <si>
    <t>Zinsaufwendungen</t>
  </si>
  <si>
    <t>Einmalige Gründungskosten</t>
  </si>
  <si>
    <t>6.</t>
  </si>
  <si>
    <t>7.</t>
  </si>
  <si>
    <t>8.</t>
  </si>
  <si>
    <t>Monat 1</t>
  </si>
  <si>
    <t>Monat 2</t>
  </si>
  <si>
    <t>Monat 3</t>
  </si>
  <si>
    <t>Monat 4</t>
  </si>
  <si>
    <t>Monat 5</t>
  </si>
  <si>
    <t>Monat 6</t>
  </si>
  <si>
    <t>Monat 7</t>
  </si>
  <si>
    <t>Monat 8</t>
  </si>
  <si>
    <t>Monat 9</t>
  </si>
  <si>
    <t>Monat 10</t>
  </si>
  <si>
    <t>Monat 11</t>
  </si>
  <si>
    <t>Monat 12</t>
  </si>
  <si>
    <t>Einzahlungen</t>
  </si>
  <si>
    <t>1.1.</t>
  </si>
  <si>
    <t>Umsatzerlöse / Anzahlungen</t>
  </si>
  <si>
    <t>1.2.</t>
  </si>
  <si>
    <t>sonstige betriebliche Erträge</t>
  </si>
  <si>
    <t>1.3.</t>
  </si>
  <si>
    <t>1.4.</t>
  </si>
  <si>
    <t>Privateinlage, Gesellschaftereinlagen</t>
  </si>
  <si>
    <t>1.5.</t>
  </si>
  <si>
    <t>Kredite/Fremdmittel</t>
  </si>
  <si>
    <t>Verfügbare Mittel [1.]</t>
  </si>
  <si>
    <t xml:space="preserve">Auszahlungen </t>
  </si>
  <si>
    <t>3.1.</t>
  </si>
  <si>
    <t>Personal (inkl. Nebenkosten)</t>
  </si>
  <si>
    <t>3.2.</t>
  </si>
  <si>
    <t>3.3.</t>
  </si>
  <si>
    <t>3.4.</t>
  </si>
  <si>
    <t>Marketing, Werbung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</si>
  <si>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</si>
  <si>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</si>
  <si>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</si>
  <si>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</si>
  <si>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</si>
  <si>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</si>
  <si>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</si>
  <si>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</si>
  <si>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</si>
  <si>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</si>
  <si>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</si>
  <si>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</si>
  <si>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</si>
  <si>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</si>
  <si>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</si>
  <si>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Tilgungen</t>
  </si>
  <si>
    <t>3.20.</t>
  </si>
  <si>
    <t>3.22.</t>
  </si>
  <si>
    <t>Investitionen</t>
  </si>
  <si>
    <t>Gesamtausgaben [2.] + [3.]</t>
  </si>
  <si>
    <t>Überschuss/Fehlbetrag [1.] - [2.] - [3.]</t>
  </si>
  <si>
    <t>+/-Saldo Vormonat</t>
  </si>
  <si>
    <t>Saldo</t>
  </si>
  <si>
    <t>Privatentnahme</t>
  </si>
  <si>
    <t>Investitionen in das Anlagevermögen</t>
  </si>
  <si>
    <t>Grundstück / Gebäude inkl. Nebenkosten</t>
  </si>
  <si>
    <t>Bau- bzw. Umbaumaßnahmen</t>
  </si>
  <si>
    <t>Maschinen, Geräte</t>
  </si>
  <si>
    <t>Einrichtungen/Büroaustattung</t>
  </si>
  <si>
    <t>Firmenfahrzeuge</t>
  </si>
  <si>
    <t>1.6.</t>
  </si>
  <si>
    <t>Patent-, Lizenz- oder Franchisegebühr</t>
  </si>
  <si>
    <t>Summe [1.]</t>
  </si>
  <si>
    <t>Investitionen in das Umlaufvermögen</t>
  </si>
  <si>
    <t>2.1.</t>
  </si>
  <si>
    <t>Summe [2.]</t>
  </si>
  <si>
    <t>ggfs. Auftragsvorfinanzierung</t>
  </si>
  <si>
    <t xml:space="preserve">Summe [3.] </t>
  </si>
  <si>
    <t>4.1.</t>
  </si>
  <si>
    <t>Beratungskosten / Aus- und Fortbildungskosten</t>
  </si>
  <si>
    <t>4.2.</t>
  </si>
  <si>
    <t>Anmeldung/Genehmigung/Eintragung ins HR/Notar</t>
  </si>
  <si>
    <t>4.3.</t>
  </si>
  <si>
    <t>Kautionen</t>
  </si>
  <si>
    <t>4.4.</t>
  </si>
  <si>
    <t>Markteinführungskosten/Werbung</t>
  </si>
  <si>
    <t xml:space="preserve">Summe [4.] </t>
  </si>
  <si>
    <t>Durch Fremdkapital zu deckender Kapitalbedarf [6. minus 7.]</t>
  </si>
  <si>
    <t>Körperschaftsteuer</t>
  </si>
  <si>
    <t>Solidaritätszuschlag</t>
  </si>
  <si>
    <t>Gewerbesteuer (Hebesatz = 400 %)</t>
  </si>
  <si>
    <t>Quartal 1</t>
  </si>
  <si>
    <t>Quartal 2</t>
  </si>
  <si>
    <t>Quartal 3</t>
  </si>
  <si>
    <t>Quartal 4</t>
  </si>
  <si>
    <t>Halbjahr 2</t>
  </si>
  <si>
    <t>Halbjahr 1</t>
  </si>
  <si>
    <t>Geschäftsjahr 02</t>
  </si>
  <si>
    <t>Geschäftsjahr 03</t>
  </si>
  <si>
    <t>Geschäftsjahr 01</t>
  </si>
  <si>
    <t>Aktiva</t>
  </si>
  <si>
    <t>Passiva</t>
  </si>
  <si>
    <t>A. Anlagevermögen:</t>
  </si>
  <si>
    <t>I.</t>
  </si>
  <si>
    <t>Immaterielle Vermögensgegenstände:</t>
  </si>
  <si>
    <t>Selbst geschaffene gewerbliche Schutzrechte und ähnliche Rechte und Werte;</t>
  </si>
  <si>
    <t>entgeltlich erworbene Konzessionen, gewerbliche Schutzrechte und ähnliche Rechte und Werte sowie Lizenzen an solchen Rechten und Werten;</t>
  </si>
  <si>
    <t>Geschäfts- oder Firmenwert;</t>
  </si>
  <si>
    <t>geleistete Anzahlungen;</t>
  </si>
  <si>
    <t>II.</t>
  </si>
  <si>
    <t>Sachanlagen:</t>
  </si>
  <si>
    <t>Grundstücke, grundstücksgleiche Rechte und Bauten einschließlich der Bauten auf fremden Grundstücken;</t>
  </si>
  <si>
    <t>technische Anlagen und Maschinen;</t>
  </si>
  <si>
    <t>andere Anlagen, Betriebs- und Geschäftsausstattung;</t>
  </si>
  <si>
    <t>geleistete Anzahlungen und Anlagen im Bau;</t>
  </si>
  <si>
    <t>III.</t>
  </si>
  <si>
    <t>Finanzanlagen:</t>
  </si>
  <si>
    <t>Anteile an verbundenen Unternehmen;</t>
  </si>
  <si>
    <t>Ausleihungen an verbundene Unternehmen;</t>
  </si>
  <si>
    <t>Beteiligungen;</t>
  </si>
  <si>
    <t>Ausleihungen an Unternehmen, mit denen ein Beteiligungsverhältnis besteht;</t>
  </si>
  <si>
    <t>Wertpapiere des Anlagevermögens;</t>
  </si>
  <si>
    <t>sonstige Ausleihungen.</t>
  </si>
  <si>
    <t>B. Umlaufvermögen:</t>
  </si>
  <si>
    <t>Vorräte:</t>
  </si>
  <si>
    <t>Roh-, Hilfs- und Betriebsstoffe;</t>
  </si>
  <si>
    <t>unfertige Erzeugnisse, unfertige Leistungen;</t>
  </si>
  <si>
    <t>fertige Erzeugnisse und Waren;</t>
  </si>
  <si>
    <t>Forderungen und sonstige Vermögensgegenstände:</t>
  </si>
  <si>
    <t>Forderungen aus Lieferungen und Leistungen;</t>
  </si>
  <si>
    <t>Forderungen gegen verbundene Unternehmen;</t>
  </si>
  <si>
    <t>Forderungen gegen Unternehmen, mit denen ein Beteiligungsverhältnis besteht;</t>
  </si>
  <si>
    <t>sonstige Vermögensgegenstände;</t>
  </si>
  <si>
    <t>Wertpapiere:</t>
  </si>
  <si>
    <t>sonstige Wertpapiere;</t>
  </si>
  <si>
    <t>IV.</t>
  </si>
  <si>
    <t>C. Rechnungsabgrenzungsposten.</t>
  </si>
  <si>
    <t>D. Aktive latente Steuern.</t>
  </si>
  <si>
    <t>E. Aktiver Unterschiedsbetrag aus der Vermögensverrechnung.</t>
  </si>
  <si>
    <t>A. Eigenkapital:</t>
  </si>
  <si>
    <t>Gezeichnetes Kapital;</t>
  </si>
  <si>
    <t>Kapitalrücklage;</t>
  </si>
  <si>
    <t>Gewinnrücklagen:</t>
  </si>
  <si>
    <t>gesetzliche Rücklage;</t>
  </si>
  <si>
    <t>Rücklage für Anteile an einem herrschenden oder mehrheitlich beteiligten Unternehmen;</t>
  </si>
  <si>
    <t>satzungsmäßige Rücklagen;</t>
  </si>
  <si>
    <t>andere Gewinnrücklagen;</t>
  </si>
  <si>
    <t>Gewinnvortrag/Verlustvortrag;</t>
  </si>
  <si>
    <t>V.</t>
  </si>
  <si>
    <t>B. Rückstellungen:</t>
  </si>
  <si>
    <t>Rückstellungen für Pensionen und ähnliche Verpflichtungen;</t>
  </si>
  <si>
    <t>Steuerrückstellungen;</t>
  </si>
  <si>
    <t>sonstige Rückstellungen.</t>
  </si>
  <si>
    <t>C. Verbindlichkeiten:</t>
  </si>
  <si>
    <t>Anleihen,</t>
  </si>
  <si>
    <t>davon konvertibel;</t>
  </si>
  <si>
    <t>Verbindlichkeiten gegenüber Kreditinstituten;</t>
  </si>
  <si>
    <t>erhaltene Anzahlungen auf Bestellungen;</t>
  </si>
  <si>
    <t>Verbindlichkeiten aus Lieferungen und Leistungen;</t>
  </si>
  <si>
    <t>Verbindlichkeiten aus der Annahme gezogener Wechsel und der Ausstellung eigener Wechsel;</t>
  </si>
  <si>
    <t>Verbindlichkeiten gegenüber verbundenen Unternehmen;</t>
  </si>
  <si>
    <t>sonstige Verbindlichkeiten,</t>
  </si>
  <si>
    <t>davon aus Steuern,</t>
  </si>
  <si>
    <t>davon im Rahmen der sozialen Sicherheit.</t>
  </si>
  <si>
    <t>D. Rechnungsabgrenzungsposten.</t>
  </si>
  <si>
    <t>E. Passive latente Steuern.</t>
  </si>
  <si>
    <t>Kassenbestand, Bundesbankguthaben, 
Guthaben bei Kreditinstituten und Schecks.</t>
  </si>
  <si>
    <t>Summe Aktiva</t>
  </si>
  <si>
    <t>Verbindlichkeiten gegenüber Unternehmen, 
mit denen ein Beteiligungsverhältnis besteht;</t>
  </si>
  <si>
    <t>Summe Passiva</t>
  </si>
  <si>
    <t>Änderung
gg. Vorjahr</t>
  </si>
  <si>
    <t>Aktuelles
Jahr</t>
  </si>
  <si>
    <t>Jahresüberschuss/Jahresfehlbetrag.</t>
  </si>
  <si>
    <t>Wareneinkauf</t>
  </si>
  <si>
    <t>2.2.</t>
  </si>
  <si>
    <t>Roh-, Hilfs- und Betriebsstoffe</t>
  </si>
  <si>
    <t>Betriebsmittel (Kosten der Anlaufphase 3 Monate)</t>
  </si>
  <si>
    <t>Geschäftsführergehalt (inkl. Nebenkosten)</t>
  </si>
  <si>
    <t>Gesamter Kapitalbedarf [1. plus 2. plus 3. plus 4. plus 5.]</t>
  </si>
  <si>
    <t>Reserve für Unvorhergesehenes [(1. plus 2. plus 3. plus 4.) * 10%]</t>
  </si>
  <si>
    <t>Gesamt</t>
  </si>
  <si>
    <t>Mitgliederzahl</t>
  </si>
  <si>
    <t>außerordentliche Erträge (z.B. Zuschüsse)</t>
  </si>
  <si>
    <t>Waren (Cafeteria)</t>
  </si>
  <si>
    <t xml:space="preserve">Anzahl </t>
  </si>
  <si>
    <t xml:space="preserve">Summe </t>
  </si>
  <si>
    <t xml:space="preserve">Activate Series Recumbent Bike </t>
  </si>
  <si>
    <t xml:space="preserve">Integrity Series Summit Trainer </t>
  </si>
  <si>
    <t xml:space="preserve">Activate Series Treadmill </t>
  </si>
  <si>
    <t xml:space="preserve">Activate Series Crosstrainer </t>
  </si>
  <si>
    <t>Nutzungsdauer</t>
  </si>
  <si>
    <t>Miete zzgl. Nebenkosten</t>
  </si>
  <si>
    <t>3.21.</t>
  </si>
  <si>
    <t>Steigerung je Monat</t>
  </si>
  <si>
    <t>Gehalt (Euro)</t>
  </si>
  <si>
    <t>Jahr 1</t>
  </si>
  <si>
    <t>Jahr 2</t>
  </si>
  <si>
    <t>Jahr 3</t>
  </si>
  <si>
    <t>Geschäftsführer</t>
  </si>
  <si>
    <t>Sekretariat</t>
  </si>
  <si>
    <t>Diätassistent</t>
  </si>
  <si>
    <t>Fitnesstrainer</t>
  </si>
  <si>
    <t>Aushilfen</t>
  </si>
  <si>
    <t>Personalkosten</t>
  </si>
  <si>
    <t>Gehälter</t>
  </si>
  <si>
    <t>Nebenkosten</t>
  </si>
  <si>
    <t>Monatlicher Beitrag</t>
  </si>
  <si>
    <t>Vorsteuer</t>
  </si>
  <si>
    <t>Kücheneinrichtung</t>
  </si>
  <si>
    <t>Büroeinrichtung</t>
  </si>
  <si>
    <t>Anschaffungskosten
(brutto)</t>
  </si>
  <si>
    <t>Anschaffungskosten
(netto)</t>
  </si>
  <si>
    <t>Versicherungen (z.B. Haftpflicht)</t>
  </si>
  <si>
    <t>Abschreibung
pro Jahr</t>
  </si>
  <si>
    <t>Umsatzsteuer-Vorauszahlungen</t>
  </si>
  <si>
    <t>Umsatzsteuer-Vorjahr</t>
  </si>
  <si>
    <t>3.23.</t>
  </si>
  <si>
    <t>sonstige betriebliche Aufwendungen</t>
  </si>
  <si>
    <t>Erträge aus Beteiligungen,</t>
  </si>
  <si>
    <t>9.</t>
  </si>
  <si>
    <t>Erträge aus anderen Wertpapieren und Ausleihungen des Finanzanlagevermögens,</t>
  </si>
  <si>
    <t>10.</t>
  </si>
  <si>
    <t>11.</t>
  </si>
  <si>
    <t>Abschreibungen auf Finanzanlagen und auf Wertpapiere des Umlaufvermögens</t>
  </si>
  <si>
    <t>12.</t>
  </si>
  <si>
    <t>13.</t>
  </si>
  <si>
    <t>Steuern vom Einkommen und vom Ertrag</t>
  </si>
  <si>
    <t>14.</t>
  </si>
  <si>
    <t>Ergebnis nach Steuern</t>
  </si>
  <si>
    <t>15.</t>
  </si>
  <si>
    <t>sonstige Steuern</t>
  </si>
  <si>
    <t>16.</t>
  </si>
  <si>
    <t>Erhöhung oder Verminderung des Bestands an fertigen und unfertigen Erzeugnissen</t>
  </si>
  <si>
    <t>andere aktivierte Eigenleistungen</t>
  </si>
  <si>
    <t>Materialaufwand:</t>
  </si>
  <si>
    <t>a)</t>
  </si>
  <si>
    <t>Aufwendungen für Roh-, Hilfs- und Betriebsstoffe und für bezogene Waren</t>
  </si>
  <si>
    <t>b)</t>
  </si>
  <si>
    <t>Aufwendungen für bezogene Leistungen</t>
  </si>
  <si>
    <t>Personalaufwand:</t>
  </si>
  <si>
    <t>Löhne und Gehälter</t>
  </si>
  <si>
    <t>soziale Abgaben und Aufwendungen für Altersversorgung und für Unterstützung,</t>
  </si>
  <si>
    <t>Abschreibungen:</t>
  </si>
  <si>
    <t>auf immaterielle Vermögensgegenstände des Anlagevermögens und Sachanlagen</t>
  </si>
  <si>
    <t>17.</t>
  </si>
  <si>
    <t>Sonstige betriebliche Steuern</t>
  </si>
  <si>
    <t>Zinsen und ähnliche Aufwendungen</t>
  </si>
  <si>
    <t>auf Vermögensgegenstände des Umlaufvermögens, 
soweit diese die in der Kapitalgesellschaft üblichen Abschreibungen überschreiten</t>
  </si>
  <si>
    <t>sonstige Zinsen und ähnliche Erträge</t>
  </si>
  <si>
    <t>Ergebnis vor Zinsen und Steuern (EBIT)</t>
  </si>
  <si>
    <t>Vermögensstruktur</t>
  </si>
  <si>
    <t xml:space="preserve"> - Eigenkapitalquote</t>
  </si>
  <si>
    <t xml:space="preserve"> - Fremdkapitalquote</t>
  </si>
  <si>
    <t xml:space="preserve"> - Anlagenintensität</t>
  </si>
  <si>
    <t xml:space="preserve"> - Umlaufvermögenintensität</t>
  </si>
  <si>
    <t>Finanzlage</t>
  </si>
  <si>
    <t xml:space="preserve"> - Anlagedeckungsgrad I</t>
  </si>
  <si>
    <t xml:space="preserve"> - Anlagedeckungsgrad II</t>
  </si>
  <si>
    <t>Liquiditätsgrade</t>
  </si>
  <si>
    <t xml:space="preserve"> - Liquiditätsgrad I</t>
  </si>
  <si>
    <t xml:space="preserve"> - Liquiditätsgrad II</t>
  </si>
  <si>
    <t xml:space="preserve"> - Liquiditätsgrad III</t>
  </si>
  <si>
    <t>Ertragslage</t>
  </si>
  <si>
    <t xml:space="preserve"> - Eigenkapitalrentabilität</t>
  </si>
  <si>
    <t xml:space="preserve"> - Gesamtkapitalrentabilität</t>
  </si>
  <si>
    <t xml:space="preserve"> - Umsatzrentabilität</t>
  </si>
  <si>
    <t xml:space="preserve"> - Return on Investment</t>
  </si>
  <si>
    <t>k.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</si>
</sst>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[Red]\-#,##0.00\ "/>
    <numFmt numFmtId="165" formatCode="#,##0_ ;[Red]\-#,##0\ "/>
    <numFmt numFmtId="166" formatCode="#,##0\ &quot;€&quot;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164" fontId="2" fillId="0" borderId="0" xfId="0" applyNumberFormat="1" applyFont="1" applyFill="1"/>
    <xf numFmtId="164" fontId="3" fillId="0" borderId="0" xfId="0" applyNumberFormat="1" applyFont="1" applyFill="1" applyProtection="1">
      <protection hidden="1"/>
    </xf>
    <xf numFmtId="164" fontId="2" fillId="0" borderId="0" xfId="0" applyNumberFormat="1" applyFont="1" applyFill="1" applyProtection="1">
      <protection hidden="1"/>
    </xf>
    <xf numFmtId="164" fontId="2" fillId="0" borderId="0" xfId="0" applyNumberFormat="1" applyFont="1" applyFill="1" applyBorder="1" applyProtection="1">
      <protection hidden="1"/>
    </xf>
    <xf numFmtId="164" fontId="2" fillId="0" borderId="1" xfId="0" applyNumberFormat="1" applyFont="1" applyFill="1" applyBorder="1" applyProtection="1">
      <protection hidden="1"/>
    </xf>
    <xf numFmtId="164" fontId="1" fillId="0" borderId="1" xfId="0" applyNumberFormat="1" applyFont="1" applyFill="1" applyBorder="1" applyProtection="1">
      <protection hidden="1"/>
    </xf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165" fontId="2" fillId="0" borderId="1" xfId="0" applyNumberFormat="1" applyFont="1" applyFill="1" applyBorder="1" applyAlignment="1" applyProtection="1">
      <alignment horizontal="center"/>
      <protection hidden="1"/>
    </xf>
    <xf numFmtId="165" fontId="2" fillId="0" borderId="0" xfId="0" applyNumberFormat="1" applyFont="1" applyFill="1"/>
    <xf numFmtId="164" fontId="4" fillId="0" borderId="1" xfId="0" applyNumberFormat="1" applyFont="1" applyFill="1" applyBorder="1" applyProtection="1">
      <protection hidden="1"/>
    </xf>
    <xf numFmtId="164" fontId="1" fillId="0" borderId="0" xfId="0" applyNumberFormat="1" applyFont="1" applyFill="1" applyBorder="1" applyProtection="1">
      <protection hidden="1"/>
    </xf>
    <xf numFmtId="165" fontId="2" fillId="0" borderId="0" xfId="0" applyNumberFormat="1" applyFont="1" applyFill="1" applyBorder="1" applyProtection="1">
      <protection hidden="1"/>
    </xf>
    <xf numFmtId="164" fontId="2" fillId="0" borderId="0" xfId="0" applyNumberFormat="1" applyFont="1" applyFill="1" applyBorder="1"/>
    <xf numFmtId="164" fontId="3" fillId="0" borderId="0" xfId="0" applyNumberFormat="1" applyFont="1" applyFill="1" applyBorder="1" applyProtection="1">
      <protection hidden="1"/>
    </xf>
    <xf numFmtId="164" fontId="3" fillId="0" borderId="0" xfId="0" applyNumberFormat="1" applyFont="1" applyFill="1"/>
    <xf numFmtId="164" fontId="3" fillId="0" borderId="0" xfId="0" applyNumberFormat="1" applyFont="1" applyFill="1" applyBorder="1" applyAlignment="1" applyProtection="1">
      <alignment horizontal="center"/>
      <protection hidden="1"/>
    </xf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5" xfId="0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2" borderId="8" xfId="0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0" fillId="0" borderId="1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vertical="top"/>
    </xf>
    <xf numFmtId="166" fontId="0" fillId="0" borderId="12" xfId="0" applyNumberFormat="1" applyBorder="1" applyAlignment="1">
      <alignment vertical="top"/>
    </xf>
    <xf numFmtId="0" fontId="5" fillId="2" borderId="7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 wrapText="1"/>
    </xf>
    <xf numFmtId="166" fontId="0" fillId="0" borderId="12" xfId="0" applyNumberForma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top" wrapText="1"/>
    </xf>
    <xf numFmtId="0" fontId="0" fillId="0" borderId="11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0" borderId="12" xfId="0" applyFill="1" applyBorder="1" applyAlignment="1">
      <alignment vertical="top"/>
    </xf>
    <xf numFmtId="0" fontId="0" fillId="0" borderId="11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1" xfId="0" applyFill="1" applyBorder="1" applyAlignment="1">
      <alignment vertical="center" wrapText="1"/>
    </xf>
    <xf numFmtId="166" fontId="0" fillId="0" borderId="0" xfId="0" applyNumberFormat="1" applyBorder="1" applyAlignment="1">
      <alignment horizontal="left" vertical="top" wrapText="1"/>
    </xf>
    <xf numFmtId="166" fontId="0" fillId="0" borderId="12" xfId="0" applyNumberFormat="1" applyBorder="1" applyAlignment="1">
      <alignment horizontal="left" vertical="top"/>
    </xf>
    <xf numFmtId="165" fontId="3" fillId="0" borderId="1" xfId="0" applyNumberFormat="1" applyFont="1" applyFill="1" applyBorder="1" applyProtection="1">
      <protection hidden="1"/>
    </xf>
    <xf numFmtId="165" fontId="3" fillId="0" borderId="3" xfId="0" applyNumberFormat="1" applyFont="1" applyFill="1" applyBorder="1" applyProtection="1">
      <protection hidden="1"/>
    </xf>
    <xf numFmtId="164" fontId="3" fillId="0" borderId="12" xfId="0" applyNumberFormat="1" applyFont="1" applyFill="1" applyBorder="1" applyProtection="1">
      <protection hidden="1"/>
    </xf>
    <xf numFmtId="164" fontId="3" fillId="0" borderId="16" xfId="0" applyNumberFormat="1" applyFont="1" applyFill="1" applyBorder="1" applyProtection="1">
      <protection hidden="1"/>
    </xf>
    <xf numFmtId="0" fontId="5" fillId="2" borderId="7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165" fontId="3" fillId="0" borderId="0" xfId="0" applyNumberFormat="1" applyFont="1" applyFill="1" applyBorder="1" applyProtection="1">
      <protection locked="0"/>
    </xf>
    <xf numFmtId="165" fontId="3" fillId="0" borderId="0" xfId="0" applyNumberFormat="1" applyFont="1" applyFill="1" applyBorder="1" applyProtection="1">
      <protection hidden="1"/>
    </xf>
    <xf numFmtId="0" fontId="6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0" fillId="0" borderId="1" xfId="0" applyBorder="1"/>
    <xf numFmtId="3" fontId="2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Fill="1" applyBorder="1" applyProtection="1">
      <protection hidden="1"/>
    </xf>
    <xf numFmtId="164" fontId="3" fillId="0" borderId="1" xfId="0" applyNumberFormat="1" applyFont="1" applyFill="1" applyBorder="1"/>
    <xf numFmtId="165" fontId="3" fillId="0" borderId="1" xfId="0" applyNumberFormat="1" applyFont="1" applyFill="1" applyBorder="1" applyProtection="1">
      <protection locked="0"/>
    </xf>
    <xf numFmtId="164" fontId="3" fillId="0" borderId="6" xfId="0" applyNumberFormat="1" applyFont="1" applyFill="1" applyBorder="1" applyProtection="1">
      <protection hidden="1"/>
    </xf>
    <xf numFmtId="164" fontId="3" fillId="0" borderId="1" xfId="0" applyNumberFormat="1" applyFont="1" applyFill="1" applyBorder="1" applyAlignment="1" applyProtection="1">
      <alignment horizontal="center"/>
      <protection hidden="1"/>
    </xf>
    <xf numFmtId="166" fontId="0" fillId="0" borderId="0" xfId="0" applyNumberFormat="1" applyAlignment="1">
      <alignment vertical="top"/>
    </xf>
    <xf numFmtId="3" fontId="2" fillId="0" borderId="1" xfId="0" applyNumberFormat="1" applyFont="1" applyBorder="1"/>
    <xf numFmtId="3" fontId="2" fillId="0" borderId="0" xfId="0" applyNumberFormat="1" applyFont="1"/>
    <xf numFmtId="165" fontId="3" fillId="0" borderId="18" xfId="0" applyNumberFormat="1" applyFont="1" applyFill="1" applyBorder="1" applyProtection="1">
      <protection hidden="1"/>
    </xf>
    <xf numFmtId="165" fontId="3" fillId="0" borderId="18" xfId="0" applyNumberFormat="1" applyFont="1" applyFill="1" applyBorder="1" applyProtection="1">
      <protection locked="0"/>
    </xf>
    <xf numFmtId="164" fontId="3" fillId="0" borderId="11" xfId="0" applyNumberFormat="1" applyFont="1" applyFill="1" applyBorder="1" applyAlignment="1" applyProtection="1">
      <alignment horizontal="center"/>
      <protection hidden="1"/>
    </xf>
    <xf numFmtId="164" fontId="3" fillId="0" borderId="12" xfId="0" applyNumberFormat="1" applyFont="1" applyFill="1" applyBorder="1" applyAlignment="1" applyProtection="1">
      <alignment horizontal="center"/>
      <protection hidden="1"/>
    </xf>
    <xf numFmtId="165" fontId="3" fillId="0" borderId="11" xfId="0" applyNumberFormat="1" applyFont="1" applyFill="1" applyBorder="1" applyProtection="1">
      <protection hidden="1"/>
    </xf>
    <xf numFmtId="165" fontId="3" fillId="0" borderId="12" xfId="0" applyNumberFormat="1" applyFont="1" applyFill="1" applyBorder="1" applyProtection="1">
      <protection hidden="1"/>
    </xf>
    <xf numFmtId="165" fontId="3" fillId="0" borderId="11" xfId="0" applyNumberFormat="1" applyFont="1" applyFill="1" applyBorder="1" applyProtection="1">
      <protection locked="0"/>
    </xf>
    <xf numFmtId="165" fontId="3" fillId="0" borderId="19" xfId="0" applyNumberFormat="1" applyFont="1" applyFill="1" applyBorder="1" applyProtection="1">
      <protection hidden="1"/>
    </xf>
    <xf numFmtId="165" fontId="3" fillId="0" borderId="16" xfId="0" applyNumberFormat="1" applyFont="1" applyFill="1" applyBorder="1" applyProtection="1">
      <protection hidden="1"/>
    </xf>
    <xf numFmtId="165" fontId="3" fillId="0" borderId="19" xfId="0" applyNumberFormat="1" applyFont="1" applyFill="1" applyBorder="1" applyProtection="1">
      <protection locked="0"/>
    </xf>
    <xf numFmtId="165" fontId="3" fillId="0" borderId="20" xfId="0" applyNumberFormat="1" applyFont="1" applyFill="1" applyBorder="1" applyProtection="1">
      <protection hidden="1"/>
    </xf>
    <xf numFmtId="165" fontId="3" fillId="0" borderId="21" xfId="0" applyNumberFormat="1" applyFont="1" applyFill="1" applyBorder="1" applyProtection="1">
      <protection hidden="1"/>
    </xf>
    <xf numFmtId="165" fontId="3" fillId="0" borderId="22" xfId="0" applyNumberFormat="1" applyFont="1" applyFill="1" applyBorder="1" applyProtection="1">
      <protection hidden="1"/>
    </xf>
    <xf numFmtId="164" fontId="3" fillId="0" borderId="4" xfId="0" applyNumberFormat="1" applyFont="1" applyFill="1" applyBorder="1" applyProtection="1">
      <protection hidden="1"/>
    </xf>
    <xf numFmtId="164" fontId="3" fillId="0" borderId="10" xfId="0" applyNumberFormat="1" applyFont="1" applyFill="1" applyBorder="1" applyProtection="1">
      <protection hidden="1"/>
    </xf>
    <xf numFmtId="164" fontId="3" fillId="0" borderId="11" xfId="0" applyNumberFormat="1" applyFont="1" applyFill="1" applyBorder="1" applyProtection="1">
      <protection hidden="1"/>
    </xf>
    <xf numFmtId="164" fontId="3" fillId="0" borderId="12" xfId="0" applyNumberFormat="1" applyFont="1" applyFill="1" applyBorder="1"/>
    <xf numFmtId="164" fontId="3" fillId="0" borderId="22" xfId="0" applyNumberFormat="1" applyFont="1" applyFill="1" applyBorder="1" applyProtection="1">
      <protection hidden="1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 applyProtection="1">
      <alignment horizontal="center"/>
      <protection hidden="1"/>
    </xf>
    <xf numFmtId="164" fontId="3" fillId="0" borderId="14" xfId="0" applyNumberFormat="1" applyFont="1" applyFill="1" applyBorder="1" applyAlignment="1" applyProtection="1">
      <alignment horizontal="center"/>
      <protection hidden="1"/>
    </xf>
    <xf numFmtId="164" fontId="3" fillId="0" borderId="15" xfId="0" applyNumberFormat="1" applyFont="1" applyFill="1" applyBorder="1" applyAlignment="1" applyProtection="1">
      <alignment horizontal="center"/>
      <protection hidden="1"/>
    </xf>
    <xf numFmtId="164" fontId="3" fillId="0" borderId="15" xfId="0" applyNumberFormat="1" applyFont="1" applyFill="1" applyBorder="1"/>
    <xf numFmtId="165" fontId="3" fillId="0" borderId="12" xfId="0" applyNumberFormat="1" applyFont="1" applyFill="1" applyBorder="1" applyProtection="1">
      <protection locked="0"/>
    </xf>
    <xf numFmtId="165" fontId="3" fillId="0" borderId="16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1" xfId="0" applyNumberFormat="1" applyFont="1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2" borderId="8" xfId="0" applyFill="1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166" fontId="0" fillId="0" borderId="0" xfId="0" applyNumberFormat="1" applyBorder="1" applyAlignment="1">
      <alignment horizontal="right" vertical="top" wrapText="1"/>
    </xf>
    <xf numFmtId="166" fontId="0" fillId="0" borderId="0" xfId="0" applyNumberFormat="1" applyBorder="1" applyAlignment="1">
      <alignment horizontal="right" vertical="top"/>
    </xf>
    <xf numFmtId="166" fontId="5" fillId="2" borderId="8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center"/>
    </xf>
    <xf numFmtId="166" fontId="5" fillId="2" borderId="9" xfId="0" applyNumberFormat="1" applyFont="1" applyFill="1" applyBorder="1" applyAlignment="1">
      <alignment vertical="top"/>
    </xf>
    <xf numFmtId="0" fontId="4" fillId="0" borderId="1" xfId="0" applyFont="1" applyBorder="1" applyAlignment="1">
      <alignment horizontal="center"/>
    </xf>
    <xf numFmtId="164" fontId="3" fillId="0" borderId="19" xfId="0" applyNumberFormat="1" applyFont="1" applyFill="1" applyBorder="1" applyProtection="1">
      <protection hidden="1"/>
    </xf>
    <xf numFmtId="164" fontId="3" fillId="0" borderId="20" xfId="0" applyNumberFormat="1" applyFont="1" applyFill="1" applyBorder="1" applyProtection="1">
      <protection hidden="1"/>
    </xf>
    <xf numFmtId="0" fontId="0" fillId="0" borderId="15" xfId="0" applyBorder="1" applyAlignment="1">
      <alignment horizontal="right" vertical="top"/>
    </xf>
    <xf numFmtId="0" fontId="0" fillId="2" borderId="9" xfId="0" applyFill="1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166" fontId="0" fillId="0" borderId="12" xfId="0" applyNumberFormat="1" applyBorder="1" applyAlignment="1">
      <alignment horizontal="right" vertical="top"/>
    </xf>
    <xf numFmtId="166" fontId="5" fillId="2" borderId="9" xfId="0" applyNumberFormat="1" applyFont="1" applyFill="1" applyBorder="1" applyAlignment="1">
      <alignment horizontal="right" vertical="top"/>
    </xf>
    <xf numFmtId="165" fontId="3" fillId="0" borderId="24" xfId="0" applyNumberFormat="1" applyFont="1" applyFill="1" applyBorder="1" applyProtection="1">
      <protection hidden="1"/>
    </xf>
    <xf numFmtId="165" fontId="3" fillId="0" borderId="23" xfId="0" applyNumberFormat="1" applyFont="1" applyFill="1" applyBorder="1" applyProtection="1">
      <protection hidden="1"/>
    </xf>
    <xf numFmtId="165" fontId="3" fillId="0" borderId="13" xfId="0" applyNumberFormat="1" applyFont="1" applyFill="1" applyBorder="1" applyProtection="1">
      <protection hidden="1"/>
    </xf>
    <xf numFmtId="165" fontId="3" fillId="0" borderId="14" xfId="0" applyNumberFormat="1" applyFont="1" applyFill="1" applyBorder="1" applyProtection="1">
      <protection hidden="1"/>
    </xf>
    <xf numFmtId="165" fontId="3" fillId="0" borderId="15" xfId="0" applyNumberFormat="1" applyFont="1" applyFill="1" applyBorder="1" applyProtection="1">
      <protection hidden="1"/>
    </xf>
    <xf numFmtId="10" fontId="2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165" fontId="2" fillId="0" borderId="1" xfId="0" applyNumberFormat="1" applyFont="1" applyFill="1" applyBorder="1" applyAlignment="1" applyProtection="1">
      <alignment horizontal="right"/>
      <protection hidden="1"/>
    </xf>
    <xf numFmtId="165" fontId="2" fillId="0" borderId="1" xfId="0" applyNumberFormat="1" applyFont="1" applyFill="1" applyBorder="1" applyAlignment="1" applyProtection="1">
      <alignment horizontal="right"/>
      <protection locked="0"/>
    </xf>
    <xf numFmtId="165" fontId="4" fillId="0" borderId="1" xfId="0" applyNumberFormat="1" applyFont="1" applyFill="1" applyBorder="1" applyAlignment="1" applyProtection="1">
      <alignment horizontal="right"/>
      <protection hidden="1"/>
    </xf>
    <xf numFmtId="0" fontId="4" fillId="0" borderId="1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10" fontId="0" fillId="0" borderId="1" xfId="0" applyNumberFormat="1" applyBorder="1" applyAlignment="1">
      <alignment horizontal="right" vertical="top"/>
    </xf>
    <xf numFmtId="10" fontId="0" fillId="0" borderId="1" xfId="0" applyNumberFormat="1" applyBorder="1" applyAlignment="1">
      <alignment horizontal="center" vertical="top"/>
    </xf>
    <xf numFmtId="164" fontId="1" fillId="0" borderId="1" xfId="0" applyNumberFormat="1" applyFont="1" applyFill="1" applyBorder="1" applyAlignment="1" applyProtection="1">
      <alignment horizontal="left"/>
      <protection hidden="1"/>
    </xf>
    <xf numFmtId="164" fontId="1" fillId="0" borderId="4" xfId="0" applyNumberFormat="1" applyFont="1" applyFill="1" applyBorder="1" applyAlignment="1" applyProtection="1">
      <alignment horizontal="center"/>
      <protection hidden="1"/>
    </xf>
    <xf numFmtId="164" fontId="1" fillId="0" borderId="5" xfId="0" applyNumberFormat="1" applyFont="1" applyFill="1" applyBorder="1" applyAlignment="1" applyProtection="1">
      <alignment horizontal="center"/>
      <protection hidden="1"/>
    </xf>
    <xf numFmtId="164" fontId="1" fillId="0" borderId="10" xfId="0" applyNumberFormat="1" applyFont="1" applyFill="1" applyBorder="1" applyAlignment="1" applyProtection="1">
      <alignment horizontal="center"/>
      <protection hidden="1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 wrapText="1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2" borderId="7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right" vertical="top"/>
    </xf>
    <xf numFmtId="0" fontId="0" fillId="0" borderId="0" xfId="0" applyFill="1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0" fillId="0" borderId="12" xfId="0" applyBorder="1" applyAlignment="1">
      <alignment horizontal="right" vertical="top" wrapText="1"/>
    </xf>
    <xf numFmtId="0" fontId="0" fillId="0" borderId="12" xfId="0" applyBorder="1" applyAlignment="1">
      <alignment horizontal="right" vertical="top"/>
    </xf>
    <xf numFmtId="0" fontId="0" fillId="0" borderId="0" xfId="0" applyBorder="1" applyAlignment="1">
      <alignment vertical="center" wrapText="1"/>
    </xf>
  </cellXfs>
  <cellStyles count="1">
    <cellStyle name="Standard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9"/>
  <sheetViews>
    <sheetView workbookViewId="0">
      <selection activeCell="F9" sqref="F9"/>
    </sheetView>
  </sheetViews>
  <sheetFormatPr baseColWidth="10" defaultRowHeight="14.4" x14ac:dyDescent="0.3"/>
  <cols>
    <col min="2" max="2" width="13.77734375" bestFit="1" customWidth="1"/>
  </cols>
  <sheetData>
    <row r="4" spans="2:8" x14ac:dyDescent="0.3">
      <c r="B4" s="72"/>
      <c r="C4" s="73" t="s">
        <v>210</v>
      </c>
      <c r="D4" s="73" t="s">
        <v>211</v>
      </c>
      <c r="E4" s="73" t="s">
        <v>212</v>
      </c>
      <c r="F4" s="73" t="s">
        <v>213</v>
      </c>
    </row>
    <row r="5" spans="2:8" x14ac:dyDescent="0.3">
      <c r="B5" s="74" t="s">
        <v>214</v>
      </c>
      <c r="C5" s="75">
        <v>60000</v>
      </c>
      <c r="D5" s="73">
        <v>1</v>
      </c>
      <c r="E5" s="73">
        <v>1</v>
      </c>
      <c r="F5" s="73">
        <v>1</v>
      </c>
    </row>
    <row r="6" spans="2:8" x14ac:dyDescent="0.3">
      <c r="B6" s="74" t="s">
        <v>215</v>
      </c>
      <c r="C6" s="75">
        <v>35000</v>
      </c>
      <c r="D6" s="73">
        <v>0</v>
      </c>
      <c r="E6" s="73">
        <v>1</v>
      </c>
      <c r="F6" s="73">
        <v>1</v>
      </c>
    </row>
    <row r="7" spans="2:8" x14ac:dyDescent="0.3">
      <c r="B7" s="74" t="s">
        <v>216</v>
      </c>
      <c r="C7" s="75">
        <v>40000</v>
      </c>
      <c r="D7" s="73">
        <v>0</v>
      </c>
      <c r="E7" s="73">
        <v>1</v>
      </c>
      <c r="F7" s="73">
        <v>2</v>
      </c>
    </row>
    <row r="8" spans="2:8" x14ac:dyDescent="0.3">
      <c r="B8" s="74" t="s">
        <v>217</v>
      </c>
      <c r="C8" s="75">
        <v>38000</v>
      </c>
      <c r="D8" s="73">
        <v>0</v>
      </c>
      <c r="E8" s="73">
        <v>1</v>
      </c>
      <c r="F8" s="73">
        <v>2</v>
      </c>
    </row>
    <row r="9" spans="2:8" x14ac:dyDescent="0.3">
      <c r="B9" s="74" t="s">
        <v>218</v>
      </c>
      <c r="C9" s="75">
        <v>7100</v>
      </c>
      <c r="D9" s="73">
        <v>0</v>
      </c>
      <c r="E9" s="73">
        <v>1</v>
      </c>
      <c r="F9" s="73">
        <v>2</v>
      </c>
    </row>
    <row r="10" spans="2:8" x14ac:dyDescent="0.3">
      <c r="B10" s="39"/>
      <c r="C10" s="39"/>
      <c r="D10" s="39"/>
      <c r="E10" s="39"/>
      <c r="F10" s="39"/>
    </row>
    <row r="11" spans="2:8" x14ac:dyDescent="0.3">
      <c r="B11" s="76" t="s">
        <v>219</v>
      </c>
    </row>
    <row r="12" spans="2:8" x14ac:dyDescent="0.3">
      <c r="B12" s="74" t="s">
        <v>220</v>
      </c>
      <c r="C12" s="75"/>
      <c r="D12" s="78">
        <f>(D6*$C$6)+(D7*$C$7)+(D8*$C$8)+(D9*$C$9)</f>
        <v>0</v>
      </c>
      <c r="E12" s="78">
        <f t="shared" ref="E12:F12" si="0">(E6*$C$6)+(E7*$C$7)+(E8*$C$8)+(E9*$C$9)</f>
        <v>120100</v>
      </c>
      <c r="F12" s="78">
        <f t="shared" si="0"/>
        <v>205200</v>
      </c>
      <c r="H12" s="149"/>
    </row>
    <row r="13" spans="2:8" x14ac:dyDescent="0.3">
      <c r="B13" s="74" t="s">
        <v>221</v>
      </c>
      <c r="C13" s="148">
        <v>0.2</v>
      </c>
      <c r="D13" s="78">
        <f>D12*$C$13</f>
        <v>0</v>
      </c>
      <c r="E13" s="78">
        <f t="shared" ref="E13:F13" si="1">E12*$C$13</f>
        <v>24020</v>
      </c>
      <c r="F13" s="78">
        <f t="shared" si="1"/>
        <v>41040</v>
      </c>
      <c r="H13" s="149"/>
    </row>
    <row r="14" spans="2:8" x14ac:dyDescent="0.3">
      <c r="B14" s="74" t="s">
        <v>196</v>
      </c>
      <c r="C14" s="75"/>
      <c r="D14" s="78">
        <f>SUM(D12:D13)</f>
        <v>0</v>
      </c>
      <c r="E14" s="78">
        <f t="shared" ref="E14:F14" si="2">SUM(E12:E13)</f>
        <v>144120</v>
      </c>
      <c r="F14" s="78">
        <f t="shared" si="2"/>
        <v>246240</v>
      </c>
    </row>
    <row r="16" spans="2:8" x14ac:dyDescent="0.3">
      <c r="B16" s="74" t="s">
        <v>214</v>
      </c>
    </row>
    <row r="17" spans="2:6" x14ac:dyDescent="0.3">
      <c r="B17" s="116" t="s">
        <v>220</v>
      </c>
      <c r="C17" s="77"/>
      <c r="D17" s="78">
        <f>D5*$C$5</f>
        <v>60000</v>
      </c>
      <c r="E17" s="78">
        <f>E5*$C$5</f>
        <v>60000</v>
      </c>
      <c r="F17" s="78">
        <f>F5*$C$5</f>
        <v>60000</v>
      </c>
    </row>
    <row r="18" spans="2:6" x14ac:dyDescent="0.3">
      <c r="B18" s="74" t="s">
        <v>221</v>
      </c>
      <c r="C18" s="75"/>
      <c r="D18" s="78">
        <f>D17*0.2</f>
        <v>12000</v>
      </c>
      <c r="E18" s="78">
        <f t="shared" ref="E18" si="3">E17*0.2</f>
        <v>12000</v>
      </c>
      <c r="F18" s="78">
        <f t="shared" ref="F18" si="4">F17*0.2</f>
        <v>12000</v>
      </c>
    </row>
    <row r="19" spans="2:6" x14ac:dyDescent="0.3">
      <c r="B19" s="74" t="s">
        <v>196</v>
      </c>
      <c r="C19" s="75"/>
      <c r="D19" s="78">
        <f>SUM(D17:D18)</f>
        <v>72000</v>
      </c>
      <c r="E19" s="78">
        <f t="shared" ref="E19" si="5">SUM(E17:E18)</f>
        <v>72000</v>
      </c>
      <c r="F19" s="78">
        <f t="shared" ref="F19" si="6">SUM(F17:F18)</f>
        <v>72000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"/>
  <sheetViews>
    <sheetView tabSelected="1" topLeftCell="F1" workbookViewId="0">
      <selection activeCell="K19" sqref="K19"/>
    </sheetView>
  </sheetViews>
  <sheetFormatPr baseColWidth="10" defaultRowHeight="14.4" x14ac:dyDescent="0.3"/>
  <cols>
    <col min="2" max="2" width="16.44140625" bestFit="1" customWidth="1"/>
  </cols>
  <sheetData>
    <row r="2" spans="2:20" x14ac:dyDescent="0.3">
      <c r="C2" s="159" t="s">
        <v>115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6" t="s">
        <v>113</v>
      </c>
      <c r="P2" s="79"/>
      <c r="Q2" s="79"/>
      <c r="R2" s="79"/>
      <c r="S2" s="159" t="s">
        <v>114</v>
      </c>
      <c r="T2" s="159"/>
    </row>
    <row r="3" spans="2:20" x14ac:dyDescent="0.3">
      <c r="C3" s="83" t="s">
        <v>26</v>
      </c>
      <c r="D3" s="83" t="s">
        <v>27</v>
      </c>
      <c r="E3" s="83" t="s">
        <v>28</v>
      </c>
      <c r="F3" s="83" t="s">
        <v>29</v>
      </c>
      <c r="G3" s="83" t="s">
        <v>30</v>
      </c>
      <c r="H3" s="83" t="s">
        <v>31</v>
      </c>
      <c r="I3" s="83" t="s">
        <v>32</v>
      </c>
      <c r="J3" s="83" t="s">
        <v>33</v>
      </c>
      <c r="K3" s="83" t="s">
        <v>34</v>
      </c>
      <c r="L3" s="83" t="s">
        <v>35</v>
      </c>
      <c r="M3" s="83" t="s">
        <v>36</v>
      </c>
      <c r="N3" s="83" t="s">
        <v>37</v>
      </c>
      <c r="O3" s="83" t="s">
        <v>107</v>
      </c>
      <c r="P3" s="83" t="s">
        <v>108</v>
      </c>
      <c r="Q3" s="83" t="s">
        <v>109</v>
      </c>
      <c r="R3" s="83" t="s">
        <v>110</v>
      </c>
      <c r="S3" s="83" t="s">
        <v>112</v>
      </c>
      <c r="T3" s="83" t="s">
        <v>111</v>
      </c>
    </row>
    <row r="4" spans="2:20" x14ac:dyDescent="0.3">
      <c r="B4" s="82" t="s">
        <v>197</v>
      </c>
      <c r="C4" s="64">
        <v>20</v>
      </c>
      <c r="D4" s="64">
        <f t="shared" ref="D4:N4" si="0">C4+$C$5</f>
        <v>60</v>
      </c>
      <c r="E4" s="64">
        <f t="shared" si="0"/>
        <v>100</v>
      </c>
      <c r="F4" s="64">
        <f t="shared" si="0"/>
        <v>140</v>
      </c>
      <c r="G4" s="64">
        <f t="shared" si="0"/>
        <v>180</v>
      </c>
      <c r="H4" s="64">
        <f t="shared" si="0"/>
        <v>220</v>
      </c>
      <c r="I4" s="64">
        <f t="shared" si="0"/>
        <v>260</v>
      </c>
      <c r="J4" s="64">
        <f t="shared" si="0"/>
        <v>300</v>
      </c>
      <c r="K4" s="64">
        <f t="shared" si="0"/>
        <v>340</v>
      </c>
      <c r="L4" s="64">
        <f t="shared" si="0"/>
        <v>380</v>
      </c>
      <c r="M4" s="64">
        <f t="shared" si="0"/>
        <v>420</v>
      </c>
      <c r="N4" s="64">
        <f t="shared" si="0"/>
        <v>460</v>
      </c>
      <c r="O4" s="64">
        <f>N4+(3*$C$5)</f>
        <v>580</v>
      </c>
      <c r="P4" s="64">
        <f>O4+(3*$C$5)</f>
        <v>700</v>
      </c>
      <c r="Q4" s="64">
        <f>P4+(3*$C$5)</f>
        <v>820</v>
      </c>
      <c r="R4" s="64">
        <f>Q4+(3*$C$5)</f>
        <v>940</v>
      </c>
      <c r="S4" s="64">
        <f>R4+(6*$C$5)</f>
        <v>1180</v>
      </c>
      <c r="T4" s="64">
        <f>S4+(6*$C$5)</f>
        <v>1420</v>
      </c>
    </row>
    <row r="5" spans="2:20" x14ac:dyDescent="0.3">
      <c r="B5" s="80" t="s">
        <v>209</v>
      </c>
      <c r="C5" s="65">
        <v>40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2:20" x14ac:dyDescent="0.3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2:20" x14ac:dyDescent="0.3">
      <c r="B7" s="80" t="s">
        <v>222</v>
      </c>
      <c r="C7" s="81">
        <v>89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2:20" x14ac:dyDescent="0.3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</sheetData>
  <mergeCells count="2">
    <mergeCell ref="C2:N2"/>
    <mergeCell ref="S2:T2"/>
  </mergeCells>
  <conditionalFormatting sqref="C4:T4">
    <cfRule type="cellIs" dxfId="6" priority="3" stopIfTrue="1" operator="lessThan">
      <formula>0</formula>
    </cfRule>
  </conditionalFormatting>
  <conditionalFormatting sqref="C5">
    <cfRule type="cellIs" dxfId="5" priority="1" stopIfTrue="1" operator="lessThan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2"/>
  <sheetViews>
    <sheetView workbookViewId="0">
      <selection activeCell="E13" sqref="E13"/>
    </sheetView>
  </sheetViews>
  <sheetFormatPr baseColWidth="10" defaultRowHeight="13.8" x14ac:dyDescent="0.25"/>
  <cols>
    <col min="1" max="1" width="11.5546875" style="7"/>
    <col min="2" max="2" width="27.6640625" style="7" bestFit="1" customWidth="1"/>
    <col min="3" max="3" width="17.21875" style="7" bestFit="1" customWidth="1"/>
    <col min="4" max="4" width="7.109375" style="7" bestFit="1" customWidth="1"/>
    <col min="5" max="5" width="7.6640625" style="7" bestFit="1" customWidth="1"/>
    <col min="6" max="6" width="8.77734375" style="7" bestFit="1" customWidth="1"/>
    <col min="7" max="7" width="17.21875" style="7" bestFit="1" customWidth="1"/>
    <col min="8" max="8" width="13" style="7" bestFit="1" customWidth="1"/>
    <col min="9" max="9" width="11.88671875" style="7" bestFit="1" customWidth="1"/>
    <col min="10" max="16384" width="11.5546875" style="7"/>
  </cols>
  <sheetData>
    <row r="3" spans="2:9" ht="27.6" x14ac:dyDescent="0.25">
      <c r="B3" s="112" t="s">
        <v>74</v>
      </c>
      <c r="C3" s="113" t="s">
        <v>226</v>
      </c>
      <c r="D3" s="114" t="s">
        <v>200</v>
      </c>
      <c r="E3" s="114" t="s">
        <v>201</v>
      </c>
      <c r="F3" s="114" t="s">
        <v>223</v>
      </c>
      <c r="G3" s="113" t="s">
        <v>227</v>
      </c>
      <c r="H3" s="114" t="s">
        <v>206</v>
      </c>
      <c r="I3" s="113" t="s">
        <v>229</v>
      </c>
    </row>
    <row r="4" spans="2:9" x14ac:dyDescent="0.25">
      <c r="B4" s="8" t="s">
        <v>202</v>
      </c>
      <c r="C4" s="85">
        <v>3050</v>
      </c>
      <c r="D4" s="8">
        <v>10</v>
      </c>
      <c r="E4" s="85">
        <f>C4*D4</f>
        <v>30500</v>
      </c>
      <c r="F4" s="85">
        <f>ROUNDDOWN(E4-(E4/1.19),0)</f>
        <v>4869</v>
      </c>
      <c r="G4" s="85">
        <f>E4-F4</f>
        <v>25631</v>
      </c>
      <c r="H4" s="85">
        <v>5</v>
      </c>
      <c r="I4" s="85">
        <f>ROUNDDOWN(G4/H4,0)</f>
        <v>5126</v>
      </c>
    </row>
    <row r="5" spans="2:9" x14ac:dyDescent="0.25">
      <c r="B5" s="8" t="s">
        <v>203</v>
      </c>
      <c r="C5" s="85">
        <v>6230</v>
      </c>
      <c r="D5" s="8">
        <v>10</v>
      </c>
      <c r="E5" s="85">
        <f t="shared" ref="E5:E9" si="0">C5*D5</f>
        <v>62300</v>
      </c>
      <c r="F5" s="85">
        <f t="shared" ref="F5:F9" si="1">ROUNDDOWN(E5-(E5/1.19),0)</f>
        <v>9947</v>
      </c>
      <c r="G5" s="85">
        <f t="shared" ref="G5:G9" si="2">E5-F5</f>
        <v>52353</v>
      </c>
      <c r="H5" s="85">
        <v>5</v>
      </c>
      <c r="I5" s="85">
        <f t="shared" ref="I5:I9" si="3">ROUNDDOWN(G5/H5,0)</f>
        <v>10470</v>
      </c>
    </row>
    <row r="6" spans="2:9" x14ac:dyDescent="0.25">
      <c r="B6" s="8" t="s">
        <v>204</v>
      </c>
      <c r="C6" s="85">
        <v>7900</v>
      </c>
      <c r="D6" s="8">
        <v>10</v>
      </c>
      <c r="E6" s="85">
        <f t="shared" si="0"/>
        <v>79000</v>
      </c>
      <c r="F6" s="85">
        <f t="shared" si="1"/>
        <v>12613</v>
      </c>
      <c r="G6" s="85">
        <f t="shared" si="2"/>
        <v>66387</v>
      </c>
      <c r="H6" s="85">
        <v>5</v>
      </c>
      <c r="I6" s="85">
        <f t="shared" si="3"/>
        <v>13277</v>
      </c>
    </row>
    <row r="7" spans="2:9" x14ac:dyDescent="0.25">
      <c r="B7" s="8" t="s">
        <v>205</v>
      </c>
      <c r="C7" s="85">
        <v>5100</v>
      </c>
      <c r="D7" s="8">
        <v>10</v>
      </c>
      <c r="E7" s="85">
        <f t="shared" si="0"/>
        <v>51000</v>
      </c>
      <c r="F7" s="85">
        <f t="shared" si="1"/>
        <v>8142</v>
      </c>
      <c r="G7" s="85">
        <f t="shared" si="2"/>
        <v>42858</v>
      </c>
      <c r="H7" s="85">
        <v>5</v>
      </c>
      <c r="I7" s="85">
        <f t="shared" si="3"/>
        <v>8571</v>
      </c>
    </row>
    <row r="8" spans="2:9" x14ac:dyDescent="0.25">
      <c r="B8" s="8" t="s">
        <v>224</v>
      </c>
      <c r="C8" s="85">
        <v>15000</v>
      </c>
      <c r="D8" s="8">
        <v>1</v>
      </c>
      <c r="E8" s="85">
        <f t="shared" si="0"/>
        <v>15000</v>
      </c>
      <c r="F8" s="85">
        <f t="shared" si="1"/>
        <v>2394</v>
      </c>
      <c r="G8" s="85">
        <f t="shared" si="2"/>
        <v>12606</v>
      </c>
      <c r="H8" s="85">
        <v>15</v>
      </c>
      <c r="I8" s="85">
        <f t="shared" si="3"/>
        <v>840</v>
      </c>
    </row>
    <row r="9" spans="2:9" x14ac:dyDescent="0.25">
      <c r="B9" s="8" t="s">
        <v>225</v>
      </c>
      <c r="C9" s="85">
        <v>12000</v>
      </c>
      <c r="D9" s="8">
        <v>1</v>
      </c>
      <c r="E9" s="85">
        <f t="shared" si="0"/>
        <v>12000</v>
      </c>
      <c r="F9" s="85">
        <f t="shared" si="1"/>
        <v>1915</v>
      </c>
      <c r="G9" s="85">
        <f t="shared" si="2"/>
        <v>10085</v>
      </c>
      <c r="H9" s="85">
        <v>13</v>
      </c>
      <c r="I9" s="85">
        <f t="shared" si="3"/>
        <v>775</v>
      </c>
    </row>
    <row r="10" spans="2:9" x14ac:dyDescent="0.25">
      <c r="B10" s="8" t="s">
        <v>196</v>
      </c>
      <c r="C10" s="85"/>
      <c r="D10" s="8"/>
      <c r="E10" s="85">
        <f>SUM(E4:E9)</f>
        <v>249800</v>
      </c>
      <c r="F10" s="85">
        <f>SUM(F4:F9)</f>
        <v>39880</v>
      </c>
      <c r="G10" s="85">
        <f>SUM(G4:G9)</f>
        <v>209920</v>
      </c>
      <c r="H10" s="85"/>
      <c r="I10" s="85">
        <f>SUM(I4:I9)</f>
        <v>39059</v>
      </c>
    </row>
    <row r="12" spans="2:9" x14ac:dyDescent="0.25">
      <c r="F12" s="86"/>
      <c r="G12" s="86"/>
      <c r="H12" s="8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9"/>
  <sheetViews>
    <sheetView topLeftCell="A43" workbookViewId="0">
      <selection activeCell="D22" sqref="D22"/>
    </sheetView>
  </sheetViews>
  <sheetFormatPr baseColWidth="10" defaultColWidth="11.44140625" defaultRowHeight="13.8" x14ac:dyDescent="0.25"/>
  <cols>
    <col min="1" max="1" width="11.44140625" style="1"/>
    <col min="2" max="2" width="5.88671875" style="3" customWidth="1"/>
    <col min="3" max="3" width="66.109375" style="3" bestFit="1" customWidth="1"/>
    <col min="4" max="4" width="8.109375" style="11" bestFit="1" customWidth="1"/>
    <col min="5" max="254" width="11.44140625" style="1"/>
    <col min="255" max="255" width="5.88671875" style="1" customWidth="1"/>
    <col min="256" max="256" width="50.44140625" style="1" customWidth="1"/>
    <col min="257" max="257" width="22.88671875" style="1" customWidth="1"/>
    <col min="258" max="510" width="11.44140625" style="1"/>
    <col min="511" max="511" width="5.88671875" style="1" customWidth="1"/>
    <col min="512" max="512" width="50.44140625" style="1" customWidth="1"/>
    <col min="513" max="513" width="22.88671875" style="1" customWidth="1"/>
    <col min="514" max="766" width="11.44140625" style="1"/>
    <col min="767" max="767" width="5.88671875" style="1" customWidth="1"/>
    <col min="768" max="768" width="50.44140625" style="1" customWidth="1"/>
    <col min="769" max="769" width="22.88671875" style="1" customWidth="1"/>
    <col min="770" max="1022" width="11.44140625" style="1"/>
    <col min="1023" max="1023" width="5.88671875" style="1" customWidth="1"/>
    <col min="1024" max="1024" width="50.44140625" style="1" customWidth="1"/>
    <col min="1025" max="1025" width="22.88671875" style="1" customWidth="1"/>
    <col min="1026" max="1278" width="11.44140625" style="1"/>
    <col min="1279" max="1279" width="5.88671875" style="1" customWidth="1"/>
    <col min="1280" max="1280" width="50.44140625" style="1" customWidth="1"/>
    <col min="1281" max="1281" width="22.88671875" style="1" customWidth="1"/>
    <col min="1282" max="1534" width="11.44140625" style="1"/>
    <col min="1535" max="1535" width="5.88671875" style="1" customWidth="1"/>
    <col min="1536" max="1536" width="50.44140625" style="1" customWidth="1"/>
    <col min="1537" max="1537" width="22.88671875" style="1" customWidth="1"/>
    <col min="1538" max="1790" width="11.44140625" style="1"/>
    <col min="1791" max="1791" width="5.88671875" style="1" customWidth="1"/>
    <col min="1792" max="1792" width="50.44140625" style="1" customWidth="1"/>
    <col min="1793" max="1793" width="22.88671875" style="1" customWidth="1"/>
    <col min="1794" max="2046" width="11.44140625" style="1"/>
    <col min="2047" max="2047" width="5.88671875" style="1" customWidth="1"/>
    <col min="2048" max="2048" width="50.44140625" style="1" customWidth="1"/>
    <col min="2049" max="2049" width="22.88671875" style="1" customWidth="1"/>
    <col min="2050" max="2302" width="11.44140625" style="1"/>
    <col min="2303" max="2303" width="5.88671875" style="1" customWidth="1"/>
    <col min="2304" max="2304" width="50.44140625" style="1" customWidth="1"/>
    <col min="2305" max="2305" width="22.88671875" style="1" customWidth="1"/>
    <col min="2306" max="2558" width="11.44140625" style="1"/>
    <col min="2559" max="2559" width="5.88671875" style="1" customWidth="1"/>
    <col min="2560" max="2560" width="50.44140625" style="1" customWidth="1"/>
    <col min="2561" max="2561" width="22.88671875" style="1" customWidth="1"/>
    <col min="2562" max="2814" width="11.44140625" style="1"/>
    <col min="2815" max="2815" width="5.88671875" style="1" customWidth="1"/>
    <col min="2816" max="2816" width="50.44140625" style="1" customWidth="1"/>
    <col min="2817" max="2817" width="22.88671875" style="1" customWidth="1"/>
    <col min="2818" max="3070" width="11.44140625" style="1"/>
    <col min="3071" max="3071" width="5.88671875" style="1" customWidth="1"/>
    <col min="3072" max="3072" width="50.44140625" style="1" customWidth="1"/>
    <col min="3073" max="3073" width="22.88671875" style="1" customWidth="1"/>
    <col min="3074" max="3326" width="11.44140625" style="1"/>
    <col min="3327" max="3327" width="5.88671875" style="1" customWidth="1"/>
    <col min="3328" max="3328" width="50.44140625" style="1" customWidth="1"/>
    <col min="3329" max="3329" width="22.88671875" style="1" customWidth="1"/>
    <col min="3330" max="3582" width="11.44140625" style="1"/>
    <col min="3583" max="3583" width="5.88671875" style="1" customWidth="1"/>
    <col min="3584" max="3584" width="50.44140625" style="1" customWidth="1"/>
    <col min="3585" max="3585" width="22.88671875" style="1" customWidth="1"/>
    <col min="3586" max="3838" width="11.44140625" style="1"/>
    <col min="3839" max="3839" width="5.88671875" style="1" customWidth="1"/>
    <col min="3840" max="3840" width="50.44140625" style="1" customWidth="1"/>
    <col min="3841" max="3841" width="22.88671875" style="1" customWidth="1"/>
    <col min="3842" max="4094" width="11.44140625" style="1"/>
    <col min="4095" max="4095" width="5.88671875" style="1" customWidth="1"/>
    <col min="4096" max="4096" width="50.44140625" style="1" customWidth="1"/>
    <col min="4097" max="4097" width="22.88671875" style="1" customWidth="1"/>
    <col min="4098" max="4350" width="11.44140625" style="1"/>
    <col min="4351" max="4351" width="5.88671875" style="1" customWidth="1"/>
    <col min="4352" max="4352" width="50.44140625" style="1" customWidth="1"/>
    <col min="4353" max="4353" width="22.88671875" style="1" customWidth="1"/>
    <col min="4354" max="4606" width="11.44140625" style="1"/>
    <col min="4607" max="4607" width="5.88671875" style="1" customWidth="1"/>
    <col min="4608" max="4608" width="50.44140625" style="1" customWidth="1"/>
    <col min="4609" max="4609" width="22.88671875" style="1" customWidth="1"/>
    <col min="4610" max="4862" width="11.44140625" style="1"/>
    <col min="4863" max="4863" width="5.88671875" style="1" customWidth="1"/>
    <col min="4864" max="4864" width="50.44140625" style="1" customWidth="1"/>
    <col min="4865" max="4865" width="22.88671875" style="1" customWidth="1"/>
    <col min="4866" max="5118" width="11.44140625" style="1"/>
    <col min="5119" max="5119" width="5.88671875" style="1" customWidth="1"/>
    <col min="5120" max="5120" width="50.44140625" style="1" customWidth="1"/>
    <col min="5121" max="5121" width="22.88671875" style="1" customWidth="1"/>
    <col min="5122" max="5374" width="11.44140625" style="1"/>
    <col min="5375" max="5375" width="5.88671875" style="1" customWidth="1"/>
    <col min="5376" max="5376" width="50.44140625" style="1" customWidth="1"/>
    <col min="5377" max="5377" width="22.88671875" style="1" customWidth="1"/>
    <col min="5378" max="5630" width="11.44140625" style="1"/>
    <col min="5631" max="5631" width="5.88671875" style="1" customWidth="1"/>
    <col min="5632" max="5632" width="50.44140625" style="1" customWidth="1"/>
    <col min="5633" max="5633" width="22.88671875" style="1" customWidth="1"/>
    <col min="5634" max="5886" width="11.44140625" style="1"/>
    <col min="5887" max="5887" width="5.88671875" style="1" customWidth="1"/>
    <col min="5888" max="5888" width="50.44140625" style="1" customWidth="1"/>
    <col min="5889" max="5889" width="22.88671875" style="1" customWidth="1"/>
    <col min="5890" max="6142" width="11.44140625" style="1"/>
    <col min="6143" max="6143" width="5.88671875" style="1" customWidth="1"/>
    <col min="6144" max="6144" width="50.44140625" style="1" customWidth="1"/>
    <col min="6145" max="6145" width="22.88671875" style="1" customWidth="1"/>
    <col min="6146" max="6398" width="11.44140625" style="1"/>
    <col min="6399" max="6399" width="5.88671875" style="1" customWidth="1"/>
    <col min="6400" max="6400" width="50.44140625" style="1" customWidth="1"/>
    <col min="6401" max="6401" width="22.88671875" style="1" customWidth="1"/>
    <col min="6402" max="6654" width="11.44140625" style="1"/>
    <col min="6655" max="6655" width="5.88671875" style="1" customWidth="1"/>
    <col min="6656" max="6656" width="50.44140625" style="1" customWidth="1"/>
    <col min="6657" max="6657" width="22.88671875" style="1" customWidth="1"/>
    <col min="6658" max="6910" width="11.44140625" style="1"/>
    <col min="6911" max="6911" width="5.88671875" style="1" customWidth="1"/>
    <col min="6912" max="6912" width="50.44140625" style="1" customWidth="1"/>
    <col min="6913" max="6913" width="22.88671875" style="1" customWidth="1"/>
    <col min="6914" max="7166" width="11.44140625" style="1"/>
    <col min="7167" max="7167" width="5.88671875" style="1" customWidth="1"/>
    <col min="7168" max="7168" width="50.44140625" style="1" customWidth="1"/>
    <col min="7169" max="7169" width="22.88671875" style="1" customWidth="1"/>
    <col min="7170" max="7422" width="11.44140625" style="1"/>
    <col min="7423" max="7423" width="5.88671875" style="1" customWidth="1"/>
    <col min="7424" max="7424" width="50.44140625" style="1" customWidth="1"/>
    <col min="7425" max="7425" width="22.88671875" style="1" customWidth="1"/>
    <col min="7426" max="7678" width="11.44140625" style="1"/>
    <col min="7679" max="7679" width="5.88671875" style="1" customWidth="1"/>
    <col min="7680" max="7680" width="50.44140625" style="1" customWidth="1"/>
    <col min="7681" max="7681" width="22.88671875" style="1" customWidth="1"/>
    <col min="7682" max="7934" width="11.44140625" style="1"/>
    <col min="7935" max="7935" width="5.88671875" style="1" customWidth="1"/>
    <col min="7936" max="7936" width="50.44140625" style="1" customWidth="1"/>
    <col min="7937" max="7937" width="22.88671875" style="1" customWidth="1"/>
    <col min="7938" max="8190" width="11.44140625" style="1"/>
    <col min="8191" max="8191" width="5.88671875" style="1" customWidth="1"/>
    <col min="8192" max="8192" width="50.44140625" style="1" customWidth="1"/>
    <col min="8193" max="8193" width="22.88671875" style="1" customWidth="1"/>
    <col min="8194" max="8446" width="11.44140625" style="1"/>
    <col min="8447" max="8447" width="5.88671875" style="1" customWidth="1"/>
    <col min="8448" max="8448" width="50.44140625" style="1" customWidth="1"/>
    <col min="8449" max="8449" width="22.88671875" style="1" customWidth="1"/>
    <col min="8450" max="8702" width="11.44140625" style="1"/>
    <col min="8703" max="8703" width="5.88671875" style="1" customWidth="1"/>
    <col min="8704" max="8704" width="50.44140625" style="1" customWidth="1"/>
    <col min="8705" max="8705" width="22.88671875" style="1" customWidth="1"/>
    <col min="8706" max="8958" width="11.44140625" style="1"/>
    <col min="8959" max="8959" width="5.88671875" style="1" customWidth="1"/>
    <col min="8960" max="8960" width="50.44140625" style="1" customWidth="1"/>
    <col min="8961" max="8961" width="22.88671875" style="1" customWidth="1"/>
    <col min="8962" max="9214" width="11.44140625" style="1"/>
    <col min="9215" max="9215" width="5.88671875" style="1" customWidth="1"/>
    <col min="9216" max="9216" width="50.44140625" style="1" customWidth="1"/>
    <col min="9217" max="9217" width="22.88671875" style="1" customWidth="1"/>
    <col min="9218" max="9470" width="11.44140625" style="1"/>
    <col min="9471" max="9471" width="5.88671875" style="1" customWidth="1"/>
    <col min="9472" max="9472" width="50.44140625" style="1" customWidth="1"/>
    <col min="9473" max="9473" width="22.88671875" style="1" customWidth="1"/>
    <col min="9474" max="9726" width="11.44140625" style="1"/>
    <col min="9727" max="9727" width="5.88671875" style="1" customWidth="1"/>
    <col min="9728" max="9728" width="50.44140625" style="1" customWidth="1"/>
    <col min="9729" max="9729" width="22.88671875" style="1" customWidth="1"/>
    <col min="9730" max="9982" width="11.44140625" style="1"/>
    <col min="9983" max="9983" width="5.88671875" style="1" customWidth="1"/>
    <col min="9984" max="9984" width="50.44140625" style="1" customWidth="1"/>
    <col min="9985" max="9985" width="22.88671875" style="1" customWidth="1"/>
    <col min="9986" max="10238" width="11.44140625" style="1"/>
    <col min="10239" max="10239" width="5.88671875" style="1" customWidth="1"/>
    <col min="10240" max="10240" width="50.44140625" style="1" customWidth="1"/>
    <col min="10241" max="10241" width="22.88671875" style="1" customWidth="1"/>
    <col min="10242" max="10494" width="11.44140625" style="1"/>
    <col min="10495" max="10495" width="5.88671875" style="1" customWidth="1"/>
    <col min="10496" max="10496" width="50.44140625" style="1" customWidth="1"/>
    <col min="10497" max="10497" width="22.88671875" style="1" customWidth="1"/>
    <col min="10498" max="10750" width="11.44140625" style="1"/>
    <col min="10751" max="10751" width="5.88671875" style="1" customWidth="1"/>
    <col min="10752" max="10752" width="50.44140625" style="1" customWidth="1"/>
    <col min="10753" max="10753" width="22.88671875" style="1" customWidth="1"/>
    <col min="10754" max="11006" width="11.44140625" style="1"/>
    <col min="11007" max="11007" width="5.88671875" style="1" customWidth="1"/>
    <col min="11008" max="11008" width="50.44140625" style="1" customWidth="1"/>
    <col min="11009" max="11009" width="22.88671875" style="1" customWidth="1"/>
    <col min="11010" max="11262" width="11.44140625" style="1"/>
    <col min="11263" max="11263" width="5.88671875" style="1" customWidth="1"/>
    <col min="11264" max="11264" width="50.44140625" style="1" customWidth="1"/>
    <col min="11265" max="11265" width="22.88671875" style="1" customWidth="1"/>
    <col min="11266" max="11518" width="11.44140625" style="1"/>
    <col min="11519" max="11519" width="5.88671875" style="1" customWidth="1"/>
    <col min="11520" max="11520" width="50.44140625" style="1" customWidth="1"/>
    <col min="11521" max="11521" width="22.88671875" style="1" customWidth="1"/>
    <col min="11522" max="11774" width="11.44140625" style="1"/>
    <col min="11775" max="11775" width="5.88671875" style="1" customWidth="1"/>
    <col min="11776" max="11776" width="50.44140625" style="1" customWidth="1"/>
    <col min="11777" max="11777" width="22.88671875" style="1" customWidth="1"/>
    <col min="11778" max="12030" width="11.44140625" style="1"/>
    <col min="12031" max="12031" width="5.88671875" style="1" customWidth="1"/>
    <col min="12032" max="12032" width="50.44140625" style="1" customWidth="1"/>
    <col min="12033" max="12033" width="22.88671875" style="1" customWidth="1"/>
    <col min="12034" max="12286" width="11.44140625" style="1"/>
    <col min="12287" max="12287" width="5.88671875" style="1" customWidth="1"/>
    <col min="12288" max="12288" width="50.44140625" style="1" customWidth="1"/>
    <col min="12289" max="12289" width="22.88671875" style="1" customWidth="1"/>
    <col min="12290" max="12542" width="11.44140625" style="1"/>
    <col min="12543" max="12543" width="5.88671875" style="1" customWidth="1"/>
    <col min="12544" max="12544" width="50.44140625" style="1" customWidth="1"/>
    <col min="12545" max="12545" width="22.88671875" style="1" customWidth="1"/>
    <col min="12546" max="12798" width="11.44140625" style="1"/>
    <col min="12799" max="12799" width="5.88671875" style="1" customWidth="1"/>
    <col min="12800" max="12800" width="50.44140625" style="1" customWidth="1"/>
    <col min="12801" max="12801" width="22.88671875" style="1" customWidth="1"/>
    <col min="12802" max="13054" width="11.44140625" style="1"/>
    <col min="13055" max="13055" width="5.88671875" style="1" customWidth="1"/>
    <col min="13056" max="13056" width="50.44140625" style="1" customWidth="1"/>
    <col min="13057" max="13057" width="22.88671875" style="1" customWidth="1"/>
    <col min="13058" max="13310" width="11.44140625" style="1"/>
    <col min="13311" max="13311" width="5.88671875" style="1" customWidth="1"/>
    <col min="13312" max="13312" width="50.44140625" style="1" customWidth="1"/>
    <col min="13313" max="13313" width="22.88671875" style="1" customWidth="1"/>
    <col min="13314" max="13566" width="11.44140625" style="1"/>
    <col min="13567" max="13567" width="5.88671875" style="1" customWidth="1"/>
    <col min="13568" max="13568" width="50.44140625" style="1" customWidth="1"/>
    <col min="13569" max="13569" width="22.88671875" style="1" customWidth="1"/>
    <col min="13570" max="13822" width="11.44140625" style="1"/>
    <col min="13823" max="13823" width="5.88671875" style="1" customWidth="1"/>
    <col min="13824" max="13824" width="50.44140625" style="1" customWidth="1"/>
    <col min="13825" max="13825" width="22.88671875" style="1" customWidth="1"/>
    <col min="13826" max="14078" width="11.44140625" style="1"/>
    <col min="14079" max="14079" width="5.88671875" style="1" customWidth="1"/>
    <col min="14080" max="14080" width="50.44140625" style="1" customWidth="1"/>
    <col min="14081" max="14081" width="22.88671875" style="1" customWidth="1"/>
    <col min="14082" max="14334" width="11.44140625" style="1"/>
    <col min="14335" max="14335" width="5.88671875" style="1" customWidth="1"/>
    <col min="14336" max="14336" width="50.44140625" style="1" customWidth="1"/>
    <col min="14337" max="14337" width="22.88671875" style="1" customWidth="1"/>
    <col min="14338" max="14590" width="11.44140625" style="1"/>
    <col min="14591" max="14591" width="5.88671875" style="1" customWidth="1"/>
    <col min="14592" max="14592" width="50.44140625" style="1" customWidth="1"/>
    <col min="14593" max="14593" width="22.88671875" style="1" customWidth="1"/>
    <col min="14594" max="14846" width="11.44140625" style="1"/>
    <col min="14847" max="14847" width="5.88671875" style="1" customWidth="1"/>
    <col min="14848" max="14848" width="50.44140625" style="1" customWidth="1"/>
    <col min="14849" max="14849" width="22.88671875" style="1" customWidth="1"/>
    <col min="14850" max="15102" width="11.44140625" style="1"/>
    <col min="15103" max="15103" width="5.88671875" style="1" customWidth="1"/>
    <col min="15104" max="15104" width="50.44140625" style="1" customWidth="1"/>
    <col min="15105" max="15105" width="22.88671875" style="1" customWidth="1"/>
    <col min="15106" max="15358" width="11.44140625" style="1"/>
    <col min="15359" max="15359" width="5.88671875" style="1" customWidth="1"/>
    <col min="15360" max="15360" width="50.44140625" style="1" customWidth="1"/>
    <col min="15361" max="15361" width="22.88671875" style="1" customWidth="1"/>
    <col min="15362" max="15614" width="11.44140625" style="1"/>
    <col min="15615" max="15615" width="5.88671875" style="1" customWidth="1"/>
    <col min="15616" max="15616" width="50.44140625" style="1" customWidth="1"/>
    <col min="15617" max="15617" width="22.88671875" style="1" customWidth="1"/>
    <col min="15618" max="15870" width="11.44140625" style="1"/>
    <col min="15871" max="15871" width="5.88671875" style="1" customWidth="1"/>
    <col min="15872" max="15872" width="50.44140625" style="1" customWidth="1"/>
    <col min="15873" max="15873" width="22.88671875" style="1" customWidth="1"/>
    <col min="15874" max="16126" width="11.44140625" style="1"/>
    <col min="16127" max="16127" width="5.88671875" style="1" customWidth="1"/>
    <col min="16128" max="16128" width="50.44140625" style="1" customWidth="1"/>
    <col min="16129" max="16129" width="22.88671875" style="1" customWidth="1"/>
    <col min="16130" max="16384" width="11.44140625" style="1"/>
  </cols>
  <sheetData>
    <row r="1" spans="2:4" s="15" customFormat="1" x14ac:dyDescent="0.25">
      <c r="B1" s="13"/>
      <c r="C1" s="4"/>
      <c r="D1" s="14"/>
    </row>
    <row r="2" spans="2:4" s="15" customFormat="1" x14ac:dyDescent="0.25">
      <c r="B2" s="16"/>
      <c r="C2" s="4"/>
      <c r="D2" s="14"/>
    </row>
    <row r="3" spans="2:4" x14ac:dyDescent="0.25">
      <c r="B3" s="5"/>
      <c r="C3" s="5"/>
      <c r="D3" s="10" t="s">
        <v>1</v>
      </c>
    </row>
    <row r="4" spans="2:4" x14ac:dyDescent="0.25">
      <c r="B4" s="5" t="s">
        <v>5</v>
      </c>
      <c r="C4" s="6" t="s">
        <v>80</v>
      </c>
      <c r="D4" s="150"/>
    </row>
    <row r="5" spans="2:4" x14ac:dyDescent="0.25">
      <c r="B5" s="5" t="s">
        <v>39</v>
      </c>
      <c r="C5" s="5" t="s">
        <v>81</v>
      </c>
      <c r="D5" s="151">
        <v>0</v>
      </c>
    </row>
    <row r="6" spans="2:4" x14ac:dyDescent="0.25">
      <c r="B6" s="5" t="s">
        <v>41</v>
      </c>
      <c r="C6" s="5" t="s">
        <v>82</v>
      </c>
      <c r="D6" s="151">
        <v>35000</v>
      </c>
    </row>
    <row r="7" spans="2:4" x14ac:dyDescent="0.25">
      <c r="B7" s="5" t="s">
        <v>43</v>
      </c>
      <c r="C7" s="5" t="s">
        <v>83</v>
      </c>
      <c r="D7" s="151">
        <v>0</v>
      </c>
    </row>
    <row r="8" spans="2:4" x14ac:dyDescent="0.25">
      <c r="B8" s="5" t="s">
        <v>44</v>
      </c>
      <c r="C8" s="5" t="s">
        <v>84</v>
      </c>
      <c r="D8" s="151">
        <f>'Abschreibungen Anlagevermögen'!E10</f>
        <v>249800</v>
      </c>
    </row>
    <row r="9" spans="2:4" x14ac:dyDescent="0.25">
      <c r="B9" s="5" t="s">
        <v>46</v>
      </c>
      <c r="C9" s="5" t="s">
        <v>85</v>
      </c>
      <c r="D9" s="151">
        <v>0</v>
      </c>
    </row>
    <row r="10" spans="2:4" x14ac:dyDescent="0.25">
      <c r="B10" s="5" t="s">
        <v>86</v>
      </c>
      <c r="C10" s="5" t="s">
        <v>87</v>
      </c>
      <c r="D10" s="151">
        <v>0</v>
      </c>
    </row>
    <row r="11" spans="2:4" x14ac:dyDescent="0.25">
      <c r="B11" s="5"/>
      <c r="C11" s="5"/>
      <c r="D11" s="150"/>
    </row>
    <row r="12" spans="2:4" x14ac:dyDescent="0.25">
      <c r="B12" s="5"/>
      <c r="C12" s="5" t="s">
        <v>88</v>
      </c>
      <c r="D12" s="150">
        <f>SUM(D5:D10)</f>
        <v>284800</v>
      </c>
    </row>
    <row r="13" spans="2:4" x14ac:dyDescent="0.25">
      <c r="B13" s="5"/>
      <c r="C13" s="5"/>
      <c r="D13" s="150"/>
    </row>
    <row r="14" spans="2:4" x14ac:dyDescent="0.25">
      <c r="B14" s="5" t="s">
        <v>7</v>
      </c>
      <c r="C14" s="6" t="s">
        <v>89</v>
      </c>
      <c r="D14" s="150"/>
    </row>
    <row r="15" spans="2:4" x14ac:dyDescent="0.25">
      <c r="B15" s="5" t="s">
        <v>90</v>
      </c>
      <c r="C15" s="5" t="s">
        <v>191</v>
      </c>
      <c r="D15" s="151">
        <v>0</v>
      </c>
    </row>
    <row r="16" spans="2:4" x14ac:dyDescent="0.25">
      <c r="B16" s="5" t="s">
        <v>190</v>
      </c>
      <c r="C16" s="5" t="s">
        <v>189</v>
      </c>
      <c r="D16" s="151">
        <v>0</v>
      </c>
    </row>
    <row r="17" spans="2:4" x14ac:dyDescent="0.25">
      <c r="B17" s="5"/>
      <c r="C17" s="5"/>
      <c r="D17" s="151"/>
    </row>
    <row r="18" spans="2:4" x14ac:dyDescent="0.25">
      <c r="B18" s="5"/>
      <c r="C18" s="5" t="s">
        <v>91</v>
      </c>
      <c r="D18" s="150">
        <f>SUM(D15:D17)</f>
        <v>0</v>
      </c>
    </row>
    <row r="19" spans="2:4" x14ac:dyDescent="0.25">
      <c r="B19" s="5"/>
      <c r="C19" s="5"/>
      <c r="D19" s="150"/>
    </row>
    <row r="20" spans="2:4" x14ac:dyDescent="0.25">
      <c r="B20" s="5" t="s">
        <v>8</v>
      </c>
      <c r="C20" s="6" t="s">
        <v>192</v>
      </c>
      <c r="D20" s="150"/>
    </row>
    <row r="21" spans="2:4" x14ac:dyDescent="0.25">
      <c r="B21" s="5" t="s">
        <v>50</v>
      </c>
      <c r="C21" s="5" t="str">
        <f>Liquiditätsplan!C18</f>
        <v>Personal (inkl. Nebenkosten)</v>
      </c>
      <c r="D21" s="151">
        <f>Liquiditätsplan!D18+Liquiditätsplan!E18+Liquiditätsplan!F18</f>
        <v>0</v>
      </c>
    </row>
    <row r="22" spans="2:4" x14ac:dyDescent="0.25">
      <c r="B22" s="5" t="s">
        <v>52</v>
      </c>
      <c r="C22" s="5" t="str">
        <f>Liquiditätsplan!C19</f>
        <v>Geschäftsführergehalt (inkl. Nebenkosten)</v>
      </c>
      <c r="D22" s="151">
        <f>Liquiditätsplan!D19+Liquiditätsplan!E19+Liquiditätsplan!F19</f>
        <v>18000</v>
      </c>
    </row>
    <row r="23" spans="2:4" x14ac:dyDescent="0.25">
      <c r="B23" s="5" t="s">
        <v>53</v>
      </c>
      <c r="C23" s="5" t="str">
        <f>Liquiditätsplan!C20</f>
        <v>Miete zzgl. Nebenkosten</v>
      </c>
      <c r="D23" s="151">
        <f>Liquiditätsplan!D20+Liquiditätsplan!E20+Liquiditätsplan!F20</f>
        <v>26400</v>
      </c>
    </row>
    <row r="24" spans="2:4" x14ac:dyDescent="0.25">
      <c r="B24" s="5" t="s">
        <v>54</v>
      </c>
      <c r="C24" s="5" t="str">
        <f>Liquiditätsplan!C21</f>
        <v>Marketing, Werbung</v>
      </c>
      <c r="D24" s="151">
        <f>Liquiditätsplan!D21+Liquiditätsplan!E21+Liquiditätsplan!F21</f>
        <v>78480</v>
      </c>
    </row>
    <row r="25" spans="2:4" x14ac:dyDescent="0.25">
      <c r="B25" s="5" t="s">
        <v>56</v>
      </c>
      <c r="C25" s="5" t="str">
        <f>Liquiditätsplan!C22</f>
        <v>Kraftfahrzeugkosten</v>
      </c>
      <c r="D25" s="151">
        <f>Liquiditätsplan!D22+Liquiditätsplan!E22+Liquiditätsplan!F22</f>
        <v>0</v>
      </c>
    </row>
    <row r="26" spans="2:4" x14ac:dyDescent="0.25">
      <c r="B26" s="5" t="s">
        <v>57</v>
      </c>
      <c r="C26" s="5" t="str">
        <f>Liquiditätsplan!C23</f>
        <v>Reisekosten</v>
      </c>
      <c r="D26" s="151">
        <f>Liquiditätsplan!D23+Liquiditätsplan!E23+Liquiditätsplan!F23</f>
        <v>150</v>
      </c>
    </row>
    <row r="27" spans="2:4" x14ac:dyDescent="0.25">
      <c r="B27" s="5" t="s">
        <v>58</v>
      </c>
      <c r="C27" s="5" t="str">
        <f>Liquiditätsplan!C24</f>
        <v>Telefon, Fax, Internet</v>
      </c>
      <c r="D27" s="151">
        <f>Liquiditätsplan!D24+Liquiditätsplan!E24+Liquiditätsplan!F24</f>
        <v>300</v>
      </c>
    </row>
    <row r="28" spans="2:4" x14ac:dyDescent="0.25">
      <c r="B28" s="5" t="s">
        <v>59</v>
      </c>
      <c r="C28" s="5" t="str">
        <f>Liquiditätsplan!C25</f>
        <v>Büromaterial</v>
      </c>
      <c r="D28" s="151">
        <f>Liquiditätsplan!D25+Liquiditätsplan!E25+Liquiditätsplan!F25</f>
        <v>450</v>
      </c>
    </row>
    <row r="29" spans="2:4" x14ac:dyDescent="0.25">
      <c r="B29" s="5" t="s">
        <v>60</v>
      </c>
      <c r="C29" s="5" t="str">
        <f>Liquiditätsplan!C26</f>
        <v>Verpackung</v>
      </c>
      <c r="D29" s="151">
        <f>Liquiditätsplan!D26+Liquiditätsplan!E26+Liquiditätsplan!F26</f>
        <v>0</v>
      </c>
    </row>
    <row r="30" spans="2:4" x14ac:dyDescent="0.25">
      <c r="B30" s="5" t="s">
        <v>61</v>
      </c>
      <c r="C30" s="5" t="str">
        <f>Liquiditätsplan!C27</f>
        <v>Reparatur / Instandhaltung</v>
      </c>
      <c r="D30" s="151">
        <f>Liquiditätsplan!D27+Liquiditätsplan!E27+Liquiditätsplan!F27</f>
        <v>600</v>
      </c>
    </row>
    <row r="31" spans="2:4" x14ac:dyDescent="0.25">
      <c r="B31" s="5" t="s">
        <v>62</v>
      </c>
      <c r="C31" s="5" t="str">
        <f>Liquiditätsplan!C28</f>
        <v>Versicherungen (z.B. Haftpflicht)</v>
      </c>
      <c r="D31" s="151">
        <f>Liquiditätsplan!D28+Liquiditätsplan!E28+Liquiditätsplan!F28</f>
        <v>420</v>
      </c>
    </row>
    <row r="32" spans="2:4" x14ac:dyDescent="0.25">
      <c r="B32" s="5" t="s">
        <v>63</v>
      </c>
      <c r="C32" s="5" t="str">
        <f>Liquiditätsplan!C29</f>
        <v>Beiträge</v>
      </c>
      <c r="D32" s="151">
        <f>Liquiditätsplan!D29+Liquiditätsplan!E29+Liquiditätsplan!F29</f>
        <v>0</v>
      </c>
    </row>
    <row r="33" spans="2:4" x14ac:dyDescent="0.25">
      <c r="B33" s="5" t="s">
        <v>64</v>
      </c>
      <c r="C33" s="5" t="str">
        <f>Liquiditätsplan!C30</f>
        <v>Leasing</v>
      </c>
      <c r="D33" s="151">
        <f>Liquiditätsplan!D30+Liquiditätsplan!E30+Liquiditätsplan!F30</f>
        <v>0</v>
      </c>
    </row>
    <row r="34" spans="2:4" x14ac:dyDescent="0.25">
      <c r="B34" s="5" t="s">
        <v>65</v>
      </c>
      <c r="C34" s="5" t="str">
        <f>Liquiditätsplan!C31</f>
        <v>Beratung / Buchführung</v>
      </c>
      <c r="D34" s="151">
        <f>Liquiditätsplan!D31+Liquiditätsplan!E31+Liquiditätsplan!F31</f>
        <v>450</v>
      </c>
    </row>
    <row r="35" spans="2:4" x14ac:dyDescent="0.25">
      <c r="B35" s="5" t="s">
        <v>66</v>
      </c>
      <c r="C35" s="5" t="str">
        <f>Liquiditätsplan!C32</f>
        <v>Sonstige Aufwendungen</v>
      </c>
      <c r="D35" s="151">
        <f>Liquiditätsplan!D32+Liquiditätsplan!E32+Liquiditätsplan!F32</f>
        <v>0</v>
      </c>
    </row>
    <row r="36" spans="2:4" x14ac:dyDescent="0.25">
      <c r="B36" s="5" t="s">
        <v>67</v>
      </c>
      <c r="C36" s="5" t="str">
        <f>Liquiditätsplan!C33</f>
        <v>Zinsaufwendungen</v>
      </c>
      <c r="D36" s="151">
        <f>Liquiditätsplan!D33+Liquiditätsplan!E33+Liquiditätsplan!F33</f>
        <v>1500</v>
      </c>
    </row>
    <row r="37" spans="2:4" x14ac:dyDescent="0.25">
      <c r="B37" s="5" t="s">
        <v>68</v>
      </c>
      <c r="C37" s="5" t="str">
        <f>Liquiditätsplan!C34</f>
        <v>Einmalige Gründungskosten</v>
      </c>
      <c r="D37" s="151">
        <f>Liquiditätsplan!D34+Liquiditätsplan!E34+Liquiditätsplan!F34</f>
        <v>2500</v>
      </c>
    </row>
    <row r="38" spans="2:4" x14ac:dyDescent="0.25">
      <c r="B38" s="5" t="s">
        <v>69</v>
      </c>
      <c r="C38" s="5" t="str">
        <f>Liquiditätsplan!C35</f>
        <v>Sonstige betriebliche Steuern</v>
      </c>
      <c r="D38" s="151">
        <f>Liquiditätsplan!D35+Liquiditätsplan!E35+Liquiditätsplan!F35</f>
        <v>0</v>
      </c>
    </row>
    <row r="39" spans="2:4" x14ac:dyDescent="0.25">
      <c r="B39" s="5" t="s">
        <v>70</v>
      </c>
      <c r="C39" s="5" t="str">
        <f>Liquiditätsplan!C36</f>
        <v>Tilgungen</v>
      </c>
      <c r="D39" s="151">
        <f>Liquiditätsplan!D36+Liquiditätsplan!E36+Liquiditätsplan!F36</f>
        <v>1000</v>
      </c>
    </row>
    <row r="40" spans="2:4" x14ac:dyDescent="0.25">
      <c r="B40" s="5" t="s">
        <v>72</v>
      </c>
      <c r="C40" s="5" t="str">
        <f>Liquiditätsplan!C37</f>
        <v>Privatentnahme</v>
      </c>
      <c r="D40" s="151">
        <v>35000</v>
      </c>
    </row>
    <row r="41" spans="2:4" x14ac:dyDescent="0.25">
      <c r="B41" s="5" t="s">
        <v>208</v>
      </c>
      <c r="C41" s="5" t="s">
        <v>92</v>
      </c>
      <c r="D41" s="151">
        <v>0</v>
      </c>
    </row>
    <row r="42" spans="2:4" x14ac:dyDescent="0.25">
      <c r="B42" s="5"/>
      <c r="C42" s="5"/>
      <c r="D42" s="151"/>
    </row>
    <row r="43" spans="2:4" x14ac:dyDescent="0.25">
      <c r="B43" s="5"/>
      <c r="C43" s="5" t="s">
        <v>93</v>
      </c>
      <c r="D43" s="150">
        <f>SUM(D21:D41)</f>
        <v>165250</v>
      </c>
    </row>
    <row r="44" spans="2:4" x14ac:dyDescent="0.25">
      <c r="B44" s="5"/>
      <c r="C44" s="5"/>
      <c r="D44" s="150"/>
    </row>
    <row r="45" spans="2:4" x14ac:dyDescent="0.25">
      <c r="B45" s="5" t="s">
        <v>9</v>
      </c>
      <c r="C45" s="6" t="s">
        <v>22</v>
      </c>
      <c r="D45" s="150"/>
    </row>
    <row r="46" spans="2:4" x14ac:dyDescent="0.25">
      <c r="B46" s="5" t="s">
        <v>94</v>
      </c>
      <c r="C46" s="5" t="s">
        <v>95</v>
      </c>
      <c r="D46" s="151">
        <v>2000</v>
      </c>
    </row>
    <row r="47" spans="2:4" x14ac:dyDescent="0.25">
      <c r="B47" s="5" t="s">
        <v>96</v>
      </c>
      <c r="C47" s="5" t="s">
        <v>97</v>
      </c>
      <c r="D47" s="151">
        <v>500</v>
      </c>
    </row>
    <row r="48" spans="2:4" x14ac:dyDescent="0.25">
      <c r="B48" s="5" t="s">
        <v>98</v>
      </c>
      <c r="C48" s="5" t="s">
        <v>99</v>
      </c>
      <c r="D48" s="151">
        <v>0</v>
      </c>
    </row>
    <row r="49" spans="2:4" x14ac:dyDescent="0.25">
      <c r="B49" s="5" t="s">
        <v>100</v>
      </c>
      <c r="C49" s="5" t="s">
        <v>101</v>
      </c>
      <c r="D49" s="151">
        <v>0</v>
      </c>
    </row>
    <row r="50" spans="2:4" x14ac:dyDescent="0.25">
      <c r="B50" s="5"/>
      <c r="C50" s="5"/>
      <c r="D50" s="151"/>
    </row>
    <row r="51" spans="2:4" x14ac:dyDescent="0.25">
      <c r="B51" s="5"/>
      <c r="C51" s="5" t="s">
        <v>102</v>
      </c>
      <c r="D51" s="150">
        <f>SUM(D46:D49)</f>
        <v>2500</v>
      </c>
    </row>
    <row r="52" spans="2:4" x14ac:dyDescent="0.25">
      <c r="B52" s="5"/>
      <c r="C52" s="5"/>
      <c r="D52" s="150"/>
    </row>
    <row r="53" spans="2:4" x14ac:dyDescent="0.25">
      <c r="B53" s="5" t="s">
        <v>10</v>
      </c>
      <c r="C53" s="6" t="s">
        <v>195</v>
      </c>
      <c r="D53" s="150">
        <f>(D12+D18+D43+D51)*0.1</f>
        <v>45255</v>
      </c>
    </row>
    <row r="54" spans="2:4" x14ac:dyDescent="0.25">
      <c r="B54" s="5"/>
      <c r="C54" s="6"/>
      <c r="D54" s="150"/>
    </row>
    <row r="55" spans="2:4" x14ac:dyDescent="0.25">
      <c r="B55" s="5" t="s">
        <v>23</v>
      </c>
      <c r="C55" s="5" t="s">
        <v>194</v>
      </c>
      <c r="D55" s="150">
        <f>D12+D18+D43+D51+D53</f>
        <v>497805</v>
      </c>
    </row>
    <row r="56" spans="2:4" x14ac:dyDescent="0.25">
      <c r="B56" s="5"/>
      <c r="C56" s="5"/>
      <c r="D56" s="150"/>
    </row>
    <row r="57" spans="2:4" x14ac:dyDescent="0.25">
      <c r="B57" s="5" t="s">
        <v>24</v>
      </c>
      <c r="C57" s="5" t="s">
        <v>0</v>
      </c>
      <c r="D57" s="150">
        <f>Liquiditätsplan!D6</f>
        <v>160000</v>
      </c>
    </row>
    <row r="58" spans="2:4" x14ac:dyDescent="0.25">
      <c r="B58" s="5"/>
      <c r="C58" s="5"/>
      <c r="D58" s="150"/>
    </row>
    <row r="59" spans="2:4" x14ac:dyDescent="0.25">
      <c r="B59" s="5" t="s">
        <v>25</v>
      </c>
      <c r="C59" s="12" t="s">
        <v>103</v>
      </c>
      <c r="D59" s="152">
        <f>D55-D57</f>
        <v>337805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1"/>
  <sheetViews>
    <sheetView topLeftCell="B1" workbookViewId="0">
      <selection activeCell="J44" sqref="J44"/>
    </sheetView>
  </sheetViews>
  <sheetFormatPr baseColWidth="10" defaultColWidth="11.44140625" defaultRowHeight="13.2" x14ac:dyDescent="0.25"/>
  <cols>
    <col min="1" max="1" width="11.44140625" style="17"/>
    <col min="2" max="2" width="4.88671875" style="20" customWidth="1"/>
    <col min="3" max="3" width="33.77734375" style="17" bestFit="1" customWidth="1"/>
    <col min="4" max="22" width="10.44140625" style="17" customWidth="1"/>
    <col min="23" max="254" width="11.44140625" style="17"/>
    <col min="255" max="255" width="4.88671875" style="17" customWidth="1"/>
    <col min="256" max="256" width="31.6640625" style="17" bestFit="1" customWidth="1"/>
    <col min="257" max="259" width="10.44140625" style="17" customWidth="1"/>
    <col min="260" max="260" width="0" style="17" hidden="1" customWidth="1"/>
    <col min="261" max="263" width="10.44140625" style="17" customWidth="1"/>
    <col min="264" max="264" width="0" style="17" hidden="1" customWidth="1"/>
    <col min="265" max="267" width="10.44140625" style="17" customWidth="1"/>
    <col min="268" max="268" width="0" style="17" hidden="1" customWidth="1"/>
    <col min="269" max="271" width="10.44140625" style="17" customWidth="1"/>
    <col min="272" max="272" width="0" style="17" hidden="1" customWidth="1"/>
    <col min="273" max="273" width="10.44140625" style="17" customWidth="1"/>
    <col min="274" max="510" width="11.44140625" style="17"/>
    <col min="511" max="511" width="4.88671875" style="17" customWidth="1"/>
    <col min="512" max="512" width="31.6640625" style="17" bestFit="1" customWidth="1"/>
    <col min="513" max="515" width="10.44140625" style="17" customWidth="1"/>
    <col min="516" max="516" width="0" style="17" hidden="1" customWidth="1"/>
    <col min="517" max="519" width="10.44140625" style="17" customWidth="1"/>
    <col min="520" max="520" width="0" style="17" hidden="1" customWidth="1"/>
    <col min="521" max="523" width="10.44140625" style="17" customWidth="1"/>
    <col min="524" max="524" width="0" style="17" hidden="1" customWidth="1"/>
    <col min="525" max="527" width="10.44140625" style="17" customWidth="1"/>
    <col min="528" max="528" width="0" style="17" hidden="1" customWidth="1"/>
    <col min="529" max="529" width="10.44140625" style="17" customWidth="1"/>
    <col min="530" max="766" width="11.44140625" style="17"/>
    <col min="767" max="767" width="4.88671875" style="17" customWidth="1"/>
    <col min="768" max="768" width="31.6640625" style="17" bestFit="1" customWidth="1"/>
    <col min="769" max="771" width="10.44140625" style="17" customWidth="1"/>
    <col min="772" max="772" width="0" style="17" hidden="1" customWidth="1"/>
    <col min="773" max="775" width="10.44140625" style="17" customWidth="1"/>
    <col min="776" max="776" width="0" style="17" hidden="1" customWidth="1"/>
    <col min="777" max="779" width="10.44140625" style="17" customWidth="1"/>
    <col min="780" max="780" width="0" style="17" hidden="1" customWidth="1"/>
    <col min="781" max="783" width="10.44140625" style="17" customWidth="1"/>
    <col min="784" max="784" width="0" style="17" hidden="1" customWidth="1"/>
    <col min="785" max="785" width="10.44140625" style="17" customWidth="1"/>
    <col min="786" max="1022" width="11.44140625" style="17"/>
    <col min="1023" max="1023" width="4.88671875" style="17" customWidth="1"/>
    <col min="1024" max="1024" width="31.6640625" style="17" bestFit="1" customWidth="1"/>
    <col min="1025" max="1027" width="10.44140625" style="17" customWidth="1"/>
    <col min="1028" max="1028" width="0" style="17" hidden="1" customWidth="1"/>
    <col min="1029" max="1031" width="10.44140625" style="17" customWidth="1"/>
    <col min="1032" max="1032" width="0" style="17" hidden="1" customWidth="1"/>
    <col min="1033" max="1035" width="10.44140625" style="17" customWidth="1"/>
    <col min="1036" max="1036" width="0" style="17" hidden="1" customWidth="1"/>
    <col min="1037" max="1039" width="10.44140625" style="17" customWidth="1"/>
    <col min="1040" max="1040" width="0" style="17" hidden="1" customWidth="1"/>
    <col min="1041" max="1041" width="10.44140625" style="17" customWidth="1"/>
    <col min="1042" max="1278" width="11.44140625" style="17"/>
    <col min="1279" max="1279" width="4.88671875" style="17" customWidth="1"/>
    <col min="1280" max="1280" width="31.6640625" style="17" bestFit="1" customWidth="1"/>
    <col min="1281" max="1283" width="10.44140625" style="17" customWidth="1"/>
    <col min="1284" max="1284" width="0" style="17" hidden="1" customWidth="1"/>
    <col min="1285" max="1287" width="10.44140625" style="17" customWidth="1"/>
    <col min="1288" max="1288" width="0" style="17" hidden="1" customWidth="1"/>
    <col min="1289" max="1291" width="10.44140625" style="17" customWidth="1"/>
    <col min="1292" max="1292" width="0" style="17" hidden="1" customWidth="1"/>
    <col min="1293" max="1295" width="10.44140625" style="17" customWidth="1"/>
    <col min="1296" max="1296" width="0" style="17" hidden="1" customWidth="1"/>
    <col min="1297" max="1297" width="10.44140625" style="17" customWidth="1"/>
    <col min="1298" max="1534" width="11.44140625" style="17"/>
    <col min="1535" max="1535" width="4.88671875" style="17" customWidth="1"/>
    <col min="1536" max="1536" width="31.6640625" style="17" bestFit="1" customWidth="1"/>
    <col min="1537" max="1539" width="10.44140625" style="17" customWidth="1"/>
    <col min="1540" max="1540" width="0" style="17" hidden="1" customWidth="1"/>
    <col min="1541" max="1543" width="10.44140625" style="17" customWidth="1"/>
    <col min="1544" max="1544" width="0" style="17" hidden="1" customWidth="1"/>
    <col min="1545" max="1547" width="10.44140625" style="17" customWidth="1"/>
    <col min="1548" max="1548" width="0" style="17" hidden="1" customWidth="1"/>
    <col min="1549" max="1551" width="10.44140625" style="17" customWidth="1"/>
    <col min="1552" max="1552" width="0" style="17" hidden="1" customWidth="1"/>
    <col min="1553" max="1553" width="10.44140625" style="17" customWidth="1"/>
    <col min="1554" max="1790" width="11.44140625" style="17"/>
    <col min="1791" max="1791" width="4.88671875" style="17" customWidth="1"/>
    <col min="1792" max="1792" width="31.6640625" style="17" bestFit="1" customWidth="1"/>
    <col min="1793" max="1795" width="10.44140625" style="17" customWidth="1"/>
    <col min="1796" max="1796" width="0" style="17" hidden="1" customWidth="1"/>
    <col min="1797" max="1799" width="10.44140625" style="17" customWidth="1"/>
    <col min="1800" max="1800" width="0" style="17" hidden="1" customWidth="1"/>
    <col min="1801" max="1803" width="10.44140625" style="17" customWidth="1"/>
    <col min="1804" max="1804" width="0" style="17" hidden="1" customWidth="1"/>
    <col min="1805" max="1807" width="10.44140625" style="17" customWidth="1"/>
    <col min="1808" max="1808" width="0" style="17" hidden="1" customWidth="1"/>
    <col min="1809" max="1809" width="10.44140625" style="17" customWidth="1"/>
    <col min="1810" max="2046" width="11.44140625" style="17"/>
    <col min="2047" max="2047" width="4.88671875" style="17" customWidth="1"/>
    <col min="2048" max="2048" width="31.6640625" style="17" bestFit="1" customWidth="1"/>
    <col min="2049" max="2051" width="10.44140625" style="17" customWidth="1"/>
    <col min="2052" max="2052" width="0" style="17" hidden="1" customWidth="1"/>
    <col min="2053" max="2055" width="10.44140625" style="17" customWidth="1"/>
    <col min="2056" max="2056" width="0" style="17" hidden="1" customWidth="1"/>
    <col min="2057" max="2059" width="10.44140625" style="17" customWidth="1"/>
    <col min="2060" max="2060" width="0" style="17" hidden="1" customWidth="1"/>
    <col min="2061" max="2063" width="10.44140625" style="17" customWidth="1"/>
    <col min="2064" max="2064" width="0" style="17" hidden="1" customWidth="1"/>
    <col min="2065" max="2065" width="10.44140625" style="17" customWidth="1"/>
    <col min="2066" max="2302" width="11.44140625" style="17"/>
    <col min="2303" max="2303" width="4.88671875" style="17" customWidth="1"/>
    <col min="2304" max="2304" width="31.6640625" style="17" bestFit="1" customWidth="1"/>
    <col min="2305" max="2307" width="10.44140625" style="17" customWidth="1"/>
    <col min="2308" max="2308" width="0" style="17" hidden="1" customWidth="1"/>
    <col min="2309" max="2311" width="10.44140625" style="17" customWidth="1"/>
    <col min="2312" max="2312" width="0" style="17" hidden="1" customWidth="1"/>
    <col min="2313" max="2315" width="10.44140625" style="17" customWidth="1"/>
    <col min="2316" max="2316" width="0" style="17" hidden="1" customWidth="1"/>
    <col min="2317" max="2319" width="10.44140625" style="17" customWidth="1"/>
    <col min="2320" max="2320" width="0" style="17" hidden="1" customWidth="1"/>
    <col min="2321" max="2321" width="10.44140625" style="17" customWidth="1"/>
    <col min="2322" max="2558" width="11.44140625" style="17"/>
    <col min="2559" max="2559" width="4.88671875" style="17" customWidth="1"/>
    <col min="2560" max="2560" width="31.6640625" style="17" bestFit="1" customWidth="1"/>
    <col min="2561" max="2563" width="10.44140625" style="17" customWidth="1"/>
    <col min="2564" max="2564" width="0" style="17" hidden="1" customWidth="1"/>
    <col min="2565" max="2567" width="10.44140625" style="17" customWidth="1"/>
    <col min="2568" max="2568" width="0" style="17" hidden="1" customWidth="1"/>
    <col min="2569" max="2571" width="10.44140625" style="17" customWidth="1"/>
    <col min="2572" max="2572" width="0" style="17" hidden="1" customWidth="1"/>
    <col min="2573" max="2575" width="10.44140625" style="17" customWidth="1"/>
    <col min="2576" max="2576" width="0" style="17" hidden="1" customWidth="1"/>
    <col min="2577" max="2577" width="10.44140625" style="17" customWidth="1"/>
    <col min="2578" max="2814" width="11.44140625" style="17"/>
    <col min="2815" max="2815" width="4.88671875" style="17" customWidth="1"/>
    <col min="2816" max="2816" width="31.6640625" style="17" bestFit="1" customWidth="1"/>
    <col min="2817" max="2819" width="10.44140625" style="17" customWidth="1"/>
    <col min="2820" max="2820" width="0" style="17" hidden="1" customWidth="1"/>
    <col min="2821" max="2823" width="10.44140625" style="17" customWidth="1"/>
    <col min="2824" max="2824" width="0" style="17" hidden="1" customWidth="1"/>
    <col min="2825" max="2827" width="10.44140625" style="17" customWidth="1"/>
    <col min="2828" max="2828" width="0" style="17" hidden="1" customWidth="1"/>
    <col min="2829" max="2831" width="10.44140625" style="17" customWidth="1"/>
    <col min="2832" max="2832" width="0" style="17" hidden="1" customWidth="1"/>
    <col min="2833" max="2833" width="10.44140625" style="17" customWidth="1"/>
    <col min="2834" max="3070" width="11.44140625" style="17"/>
    <col min="3071" max="3071" width="4.88671875" style="17" customWidth="1"/>
    <col min="3072" max="3072" width="31.6640625" style="17" bestFit="1" customWidth="1"/>
    <col min="3073" max="3075" width="10.44140625" style="17" customWidth="1"/>
    <col min="3076" max="3076" width="0" style="17" hidden="1" customWidth="1"/>
    <col min="3077" max="3079" width="10.44140625" style="17" customWidth="1"/>
    <col min="3080" max="3080" width="0" style="17" hidden="1" customWidth="1"/>
    <col min="3081" max="3083" width="10.44140625" style="17" customWidth="1"/>
    <col min="3084" max="3084" width="0" style="17" hidden="1" customWidth="1"/>
    <col min="3085" max="3087" width="10.44140625" style="17" customWidth="1"/>
    <col min="3088" max="3088" width="0" style="17" hidden="1" customWidth="1"/>
    <col min="3089" max="3089" width="10.44140625" style="17" customWidth="1"/>
    <col min="3090" max="3326" width="11.44140625" style="17"/>
    <col min="3327" max="3327" width="4.88671875" style="17" customWidth="1"/>
    <col min="3328" max="3328" width="31.6640625" style="17" bestFit="1" customWidth="1"/>
    <col min="3329" max="3331" width="10.44140625" style="17" customWidth="1"/>
    <col min="3332" max="3332" width="0" style="17" hidden="1" customWidth="1"/>
    <col min="3333" max="3335" width="10.44140625" style="17" customWidth="1"/>
    <col min="3336" max="3336" width="0" style="17" hidden="1" customWidth="1"/>
    <col min="3337" max="3339" width="10.44140625" style="17" customWidth="1"/>
    <col min="3340" max="3340" width="0" style="17" hidden="1" customWidth="1"/>
    <col min="3341" max="3343" width="10.44140625" style="17" customWidth="1"/>
    <col min="3344" max="3344" width="0" style="17" hidden="1" customWidth="1"/>
    <col min="3345" max="3345" width="10.44140625" style="17" customWidth="1"/>
    <col min="3346" max="3582" width="11.44140625" style="17"/>
    <col min="3583" max="3583" width="4.88671875" style="17" customWidth="1"/>
    <col min="3584" max="3584" width="31.6640625" style="17" bestFit="1" customWidth="1"/>
    <col min="3585" max="3587" width="10.44140625" style="17" customWidth="1"/>
    <col min="3588" max="3588" width="0" style="17" hidden="1" customWidth="1"/>
    <col min="3589" max="3591" width="10.44140625" style="17" customWidth="1"/>
    <col min="3592" max="3592" width="0" style="17" hidden="1" customWidth="1"/>
    <col min="3593" max="3595" width="10.44140625" style="17" customWidth="1"/>
    <col min="3596" max="3596" width="0" style="17" hidden="1" customWidth="1"/>
    <col min="3597" max="3599" width="10.44140625" style="17" customWidth="1"/>
    <col min="3600" max="3600" width="0" style="17" hidden="1" customWidth="1"/>
    <col min="3601" max="3601" width="10.44140625" style="17" customWidth="1"/>
    <col min="3602" max="3838" width="11.44140625" style="17"/>
    <col min="3839" max="3839" width="4.88671875" style="17" customWidth="1"/>
    <col min="3840" max="3840" width="31.6640625" style="17" bestFit="1" customWidth="1"/>
    <col min="3841" max="3843" width="10.44140625" style="17" customWidth="1"/>
    <col min="3844" max="3844" width="0" style="17" hidden="1" customWidth="1"/>
    <col min="3845" max="3847" width="10.44140625" style="17" customWidth="1"/>
    <col min="3848" max="3848" width="0" style="17" hidden="1" customWidth="1"/>
    <col min="3849" max="3851" width="10.44140625" style="17" customWidth="1"/>
    <col min="3852" max="3852" width="0" style="17" hidden="1" customWidth="1"/>
    <col min="3853" max="3855" width="10.44140625" style="17" customWidth="1"/>
    <col min="3856" max="3856" width="0" style="17" hidden="1" customWidth="1"/>
    <col min="3857" max="3857" width="10.44140625" style="17" customWidth="1"/>
    <col min="3858" max="4094" width="11.44140625" style="17"/>
    <col min="4095" max="4095" width="4.88671875" style="17" customWidth="1"/>
    <col min="4096" max="4096" width="31.6640625" style="17" bestFit="1" customWidth="1"/>
    <col min="4097" max="4099" width="10.44140625" style="17" customWidth="1"/>
    <col min="4100" max="4100" width="0" style="17" hidden="1" customWidth="1"/>
    <col min="4101" max="4103" width="10.44140625" style="17" customWidth="1"/>
    <col min="4104" max="4104" width="0" style="17" hidden="1" customWidth="1"/>
    <col min="4105" max="4107" width="10.44140625" style="17" customWidth="1"/>
    <col min="4108" max="4108" width="0" style="17" hidden="1" customWidth="1"/>
    <col min="4109" max="4111" width="10.44140625" style="17" customWidth="1"/>
    <col min="4112" max="4112" width="0" style="17" hidden="1" customWidth="1"/>
    <col min="4113" max="4113" width="10.44140625" style="17" customWidth="1"/>
    <col min="4114" max="4350" width="11.44140625" style="17"/>
    <col min="4351" max="4351" width="4.88671875" style="17" customWidth="1"/>
    <col min="4352" max="4352" width="31.6640625" style="17" bestFit="1" customWidth="1"/>
    <col min="4353" max="4355" width="10.44140625" style="17" customWidth="1"/>
    <col min="4356" max="4356" width="0" style="17" hidden="1" customWidth="1"/>
    <col min="4357" max="4359" width="10.44140625" style="17" customWidth="1"/>
    <col min="4360" max="4360" width="0" style="17" hidden="1" customWidth="1"/>
    <col min="4361" max="4363" width="10.44140625" style="17" customWidth="1"/>
    <col min="4364" max="4364" width="0" style="17" hidden="1" customWidth="1"/>
    <col min="4365" max="4367" width="10.44140625" style="17" customWidth="1"/>
    <col min="4368" max="4368" width="0" style="17" hidden="1" customWidth="1"/>
    <col min="4369" max="4369" width="10.44140625" style="17" customWidth="1"/>
    <col min="4370" max="4606" width="11.44140625" style="17"/>
    <col min="4607" max="4607" width="4.88671875" style="17" customWidth="1"/>
    <col min="4608" max="4608" width="31.6640625" style="17" bestFit="1" customWidth="1"/>
    <col min="4609" max="4611" width="10.44140625" style="17" customWidth="1"/>
    <col min="4612" max="4612" width="0" style="17" hidden="1" customWidth="1"/>
    <col min="4613" max="4615" width="10.44140625" style="17" customWidth="1"/>
    <col min="4616" max="4616" width="0" style="17" hidden="1" customWidth="1"/>
    <col min="4617" max="4619" width="10.44140625" style="17" customWidth="1"/>
    <col min="4620" max="4620" width="0" style="17" hidden="1" customWidth="1"/>
    <col min="4621" max="4623" width="10.44140625" style="17" customWidth="1"/>
    <col min="4624" max="4624" width="0" style="17" hidden="1" customWidth="1"/>
    <col min="4625" max="4625" width="10.44140625" style="17" customWidth="1"/>
    <col min="4626" max="4862" width="11.44140625" style="17"/>
    <col min="4863" max="4863" width="4.88671875" style="17" customWidth="1"/>
    <col min="4864" max="4864" width="31.6640625" style="17" bestFit="1" customWidth="1"/>
    <col min="4865" max="4867" width="10.44140625" style="17" customWidth="1"/>
    <col min="4868" max="4868" width="0" style="17" hidden="1" customWidth="1"/>
    <col min="4869" max="4871" width="10.44140625" style="17" customWidth="1"/>
    <col min="4872" max="4872" width="0" style="17" hidden="1" customWidth="1"/>
    <col min="4873" max="4875" width="10.44140625" style="17" customWidth="1"/>
    <col min="4876" max="4876" width="0" style="17" hidden="1" customWidth="1"/>
    <col min="4877" max="4879" width="10.44140625" style="17" customWidth="1"/>
    <col min="4880" max="4880" width="0" style="17" hidden="1" customWidth="1"/>
    <col min="4881" max="4881" width="10.44140625" style="17" customWidth="1"/>
    <col min="4882" max="5118" width="11.44140625" style="17"/>
    <col min="5119" max="5119" width="4.88671875" style="17" customWidth="1"/>
    <col min="5120" max="5120" width="31.6640625" style="17" bestFit="1" customWidth="1"/>
    <col min="5121" max="5123" width="10.44140625" style="17" customWidth="1"/>
    <col min="5124" max="5124" width="0" style="17" hidden="1" customWidth="1"/>
    <col min="5125" max="5127" width="10.44140625" style="17" customWidth="1"/>
    <col min="5128" max="5128" width="0" style="17" hidden="1" customWidth="1"/>
    <col min="5129" max="5131" width="10.44140625" style="17" customWidth="1"/>
    <col min="5132" max="5132" width="0" style="17" hidden="1" customWidth="1"/>
    <col min="5133" max="5135" width="10.44140625" style="17" customWidth="1"/>
    <col min="5136" max="5136" width="0" style="17" hidden="1" customWidth="1"/>
    <col min="5137" max="5137" width="10.44140625" style="17" customWidth="1"/>
    <col min="5138" max="5374" width="11.44140625" style="17"/>
    <col min="5375" max="5375" width="4.88671875" style="17" customWidth="1"/>
    <col min="5376" max="5376" width="31.6640625" style="17" bestFit="1" customWidth="1"/>
    <col min="5377" max="5379" width="10.44140625" style="17" customWidth="1"/>
    <col min="5380" max="5380" width="0" style="17" hidden="1" customWidth="1"/>
    <col min="5381" max="5383" width="10.44140625" style="17" customWidth="1"/>
    <col min="5384" max="5384" width="0" style="17" hidden="1" customWidth="1"/>
    <col min="5385" max="5387" width="10.44140625" style="17" customWidth="1"/>
    <col min="5388" max="5388" width="0" style="17" hidden="1" customWidth="1"/>
    <col min="5389" max="5391" width="10.44140625" style="17" customWidth="1"/>
    <col min="5392" max="5392" width="0" style="17" hidden="1" customWidth="1"/>
    <col min="5393" max="5393" width="10.44140625" style="17" customWidth="1"/>
    <col min="5394" max="5630" width="11.44140625" style="17"/>
    <col min="5631" max="5631" width="4.88671875" style="17" customWidth="1"/>
    <col min="5632" max="5632" width="31.6640625" style="17" bestFit="1" customWidth="1"/>
    <col min="5633" max="5635" width="10.44140625" style="17" customWidth="1"/>
    <col min="5636" max="5636" width="0" style="17" hidden="1" customWidth="1"/>
    <col min="5637" max="5639" width="10.44140625" style="17" customWidth="1"/>
    <col min="5640" max="5640" width="0" style="17" hidden="1" customWidth="1"/>
    <col min="5641" max="5643" width="10.44140625" style="17" customWidth="1"/>
    <col min="5644" max="5644" width="0" style="17" hidden="1" customWidth="1"/>
    <col min="5645" max="5647" width="10.44140625" style="17" customWidth="1"/>
    <col min="5648" max="5648" width="0" style="17" hidden="1" customWidth="1"/>
    <col min="5649" max="5649" width="10.44140625" style="17" customWidth="1"/>
    <col min="5650" max="5886" width="11.44140625" style="17"/>
    <col min="5887" max="5887" width="4.88671875" style="17" customWidth="1"/>
    <col min="5888" max="5888" width="31.6640625" style="17" bestFit="1" customWidth="1"/>
    <col min="5889" max="5891" width="10.44140625" style="17" customWidth="1"/>
    <col min="5892" max="5892" width="0" style="17" hidden="1" customWidth="1"/>
    <col min="5893" max="5895" width="10.44140625" style="17" customWidth="1"/>
    <col min="5896" max="5896" width="0" style="17" hidden="1" customWidth="1"/>
    <col min="5897" max="5899" width="10.44140625" style="17" customWidth="1"/>
    <col min="5900" max="5900" width="0" style="17" hidden="1" customWidth="1"/>
    <col min="5901" max="5903" width="10.44140625" style="17" customWidth="1"/>
    <col min="5904" max="5904" width="0" style="17" hidden="1" customWidth="1"/>
    <col min="5905" max="5905" width="10.44140625" style="17" customWidth="1"/>
    <col min="5906" max="6142" width="11.44140625" style="17"/>
    <col min="6143" max="6143" width="4.88671875" style="17" customWidth="1"/>
    <col min="6144" max="6144" width="31.6640625" style="17" bestFit="1" customWidth="1"/>
    <col min="6145" max="6147" width="10.44140625" style="17" customWidth="1"/>
    <col min="6148" max="6148" width="0" style="17" hidden="1" customWidth="1"/>
    <col min="6149" max="6151" width="10.44140625" style="17" customWidth="1"/>
    <col min="6152" max="6152" width="0" style="17" hidden="1" customWidth="1"/>
    <col min="6153" max="6155" width="10.44140625" style="17" customWidth="1"/>
    <col min="6156" max="6156" width="0" style="17" hidden="1" customWidth="1"/>
    <col min="6157" max="6159" width="10.44140625" style="17" customWidth="1"/>
    <col min="6160" max="6160" width="0" style="17" hidden="1" customWidth="1"/>
    <col min="6161" max="6161" width="10.44140625" style="17" customWidth="1"/>
    <col min="6162" max="6398" width="11.44140625" style="17"/>
    <col min="6399" max="6399" width="4.88671875" style="17" customWidth="1"/>
    <col min="6400" max="6400" width="31.6640625" style="17" bestFit="1" customWidth="1"/>
    <col min="6401" max="6403" width="10.44140625" style="17" customWidth="1"/>
    <col min="6404" max="6404" width="0" style="17" hidden="1" customWidth="1"/>
    <col min="6405" max="6407" width="10.44140625" style="17" customWidth="1"/>
    <col min="6408" max="6408" width="0" style="17" hidden="1" customWidth="1"/>
    <col min="6409" max="6411" width="10.44140625" style="17" customWidth="1"/>
    <col min="6412" max="6412" width="0" style="17" hidden="1" customWidth="1"/>
    <col min="6413" max="6415" width="10.44140625" style="17" customWidth="1"/>
    <col min="6416" max="6416" width="0" style="17" hidden="1" customWidth="1"/>
    <col min="6417" max="6417" width="10.44140625" style="17" customWidth="1"/>
    <col min="6418" max="6654" width="11.44140625" style="17"/>
    <col min="6655" max="6655" width="4.88671875" style="17" customWidth="1"/>
    <col min="6656" max="6656" width="31.6640625" style="17" bestFit="1" customWidth="1"/>
    <col min="6657" max="6659" width="10.44140625" style="17" customWidth="1"/>
    <col min="6660" max="6660" width="0" style="17" hidden="1" customWidth="1"/>
    <col min="6661" max="6663" width="10.44140625" style="17" customWidth="1"/>
    <col min="6664" max="6664" width="0" style="17" hidden="1" customWidth="1"/>
    <col min="6665" max="6667" width="10.44140625" style="17" customWidth="1"/>
    <col min="6668" max="6668" width="0" style="17" hidden="1" customWidth="1"/>
    <col min="6669" max="6671" width="10.44140625" style="17" customWidth="1"/>
    <col min="6672" max="6672" width="0" style="17" hidden="1" customWidth="1"/>
    <col min="6673" max="6673" width="10.44140625" style="17" customWidth="1"/>
    <col min="6674" max="6910" width="11.44140625" style="17"/>
    <col min="6911" max="6911" width="4.88671875" style="17" customWidth="1"/>
    <col min="6912" max="6912" width="31.6640625" style="17" bestFit="1" customWidth="1"/>
    <col min="6913" max="6915" width="10.44140625" style="17" customWidth="1"/>
    <col min="6916" max="6916" width="0" style="17" hidden="1" customWidth="1"/>
    <col min="6917" max="6919" width="10.44140625" style="17" customWidth="1"/>
    <col min="6920" max="6920" width="0" style="17" hidden="1" customWidth="1"/>
    <col min="6921" max="6923" width="10.44140625" style="17" customWidth="1"/>
    <col min="6924" max="6924" width="0" style="17" hidden="1" customWidth="1"/>
    <col min="6925" max="6927" width="10.44140625" style="17" customWidth="1"/>
    <col min="6928" max="6928" width="0" style="17" hidden="1" customWidth="1"/>
    <col min="6929" max="6929" width="10.44140625" style="17" customWidth="1"/>
    <col min="6930" max="7166" width="11.44140625" style="17"/>
    <col min="7167" max="7167" width="4.88671875" style="17" customWidth="1"/>
    <col min="7168" max="7168" width="31.6640625" style="17" bestFit="1" customWidth="1"/>
    <col min="7169" max="7171" width="10.44140625" style="17" customWidth="1"/>
    <col min="7172" max="7172" width="0" style="17" hidden="1" customWidth="1"/>
    <col min="7173" max="7175" width="10.44140625" style="17" customWidth="1"/>
    <col min="7176" max="7176" width="0" style="17" hidden="1" customWidth="1"/>
    <col min="7177" max="7179" width="10.44140625" style="17" customWidth="1"/>
    <col min="7180" max="7180" width="0" style="17" hidden="1" customWidth="1"/>
    <col min="7181" max="7183" width="10.44140625" style="17" customWidth="1"/>
    <col min="7184" max="7184" width="0" style="17" hidden="1" customWidth="1"/>
    <col min="7185" max="7185" width="10.44140625" style="17" customWidth="1"/>
    <col min="7186" max="7422" width="11.44140625" style="17"/>
    <col min="7423" max="7423" width="4.88671875" style="17" customWidth="1"/>
    <col min="7424" max="7424" width="31.6640625" style="17" bestFit="1" customWidth="1"/>
    <col min="7425" max="7427" width="10.44140625" style="17" customWidth="1"/>
    <col min="7428" max="7428" width="0" style="17" hidden="1" customWidth="1"/>
    <col min="7429" max="7431" width="10.44140625" style="17" customWidth="1"/>
    <col min="7432" max="7432" width="0" style="17" hidden="1" customWidth="1"/>
    <col min="7433" max="7435" width="10.44140625" style="17" customWidth="1"/>
    <col min="7436" max="7436" width="0" style="17" hidden="1" customWidth="1"/>
    <col min="7437" max="7439" width="10.44140625" style="17" customWidth="1"/>
    <col min="7440" max="7440" width="0" style="17" hidden="1" customWidth="1"/>
    <col min="7441" max="7441" width="10.44140625" style="17" customWidth="1"/>
    <col min="7442" max="7678" width="11.44140625" style="17"/>
    <col min="7679" max="7679" width="4.88671875" style="17" customWidth="1"/>
    <col min="7680" max="7680" width="31.6640625" style="17" bestFit="1" customWidth="1"/>
    <col min="7681" max="7683" width="10.44140625" style="17" customWidth="1"/>
    <col min="7684" max="7684" width="0" style="17" hidden="1" customWidth="1"/>
    <col min="7685" max="7687" width="10.44140625" style="17" customWidth="1"/>
    <col min="7688" max="7688" width="0" style="17" hidden="1" customWidth="1"/>
    <col min="7689" max="7691" width="10.44140625" style="17" customWidth="1"/>
    <col min="7692" max="7692" width="0" style="17" hidden="1" customWidth="1"/>
    <col min="7693" max="7695" width="10.44140625" style="17" customWidth="1"/>
    <col min="7696" max="7696" width="0" style="17" hidden="1" customWidth="1"/>
    <col min="7697" max="7697" width="10.44140625" style="17" customWidth="1"/>
    <col min="7698" max="7934" width="11.44140625" style="17"/>
    <col min="7935" max="7935" width="4.88671875" style="17" customWidth="1"/>
    <col min="7936" max="7936" width="31.6640625" style="17" bestFit="1" customWidth="1"/>
    <col min="7937" max="7939" width="10.44140625" style="17" customWidth="1"/>
    <col min="7940" max="7940" width="0" style="17" hidden="1" customWidth="1"/>
    <col min="7941" max="7943" width="10.44140625" style="17" customWidth="1"/>
    <col min="7944" max="7944" width="0" style="17" hidden="1" customWidth="1"/>
    <col min="7945" max="7947" width="10.44140625" style="17" customWidth="1"/>
    <col min="7948" max="7948" width="0" style="17" hidden="1" customWidth="1"/>
    <col min="7949" max="7951" width="10.44140625" style="17" customWidth="1"/>
    <col min="7952" max="7952" width="0" style="17" hidden="1" customWidth="1"/>
    <col min="7953" max="7953" width="10.44140625" style="17" customWidth="1"/>
    <col min="7954" max="8190" width="11.44140625" style="17"/>
    <col min="8191" max="8191" width="4.88671875" style="17" customWidth="1"/>
    <col min="8192" max="8192" width="31.6640625" style="17" bestFit="1" customWidth="1"/>
    <col min="8193" max="8195" width="10.44140625" style="17" customWidth="1"/>
    <col min="8196" max="8196" width="0" style="17" hidden="1" customWidth="1"/>
    <col min="8197" max="8199" width="10.44140625" style="17" customWidth="1"/>
    <col min="8200" max="8200" width="0" style="17" hidden="1" customWidth="1"/>
    <col min="8201" max="8203" width="10.44140625" style="17" customWidth="1"/>
    <col min="8204" max="8204" width="0" style="17" hidden="1" customWidth="1"/>
    <col min="8205" max="8207" width="10.44140625" style="17" customWidth="1"/>
    <col min="8208" max="8208" width="0" style="17" hidden="1" customWidth="1"/>
    <col min="8209" max="8209" width="10.44140625" style="17" customWidth="1"/>
    <col min="8210" max="8446" width="11.44140625" style="17"/>
    <col min="8447" max="8447" width="4.88671875" style="17" customWidth="1"/>
    <col min="8448" max="8448" width="31.6640625" style="17" bestFit="1" customWidth="1"/>
    <col min="8449" max="8451" width="10.44140625" style="17" customWidth="1"/>
    <col min="8452" max="8452" width="0" style="17" hidden="1" customWidth="1"/>
    <col min="8453" max="8455" width="10.44140625" style="17" customWidth="1"/>
    <col min="8456" max="8456" width="0" style="17" hidden="1" customWidth="1"/>
    <col min="8457" max="8459" width="10.44140625" style="17" customWidth="1"/>
    <col min="8460" max="8460" width="0" style="17" hidden="1" customWidth="1"/>
    <col min="8461" max="8463" width="10.44140625" style="17" customWidth="1"/>
    <col min="8464" max="8464" width="0" style="17" hidden="1" customWidth="1"/>
    <col min="8465" max="8465" width="10.44140625" style="17" customWidth="1"/>
    <col min="8466" max="8702" width="11.44140625" style="17"/>
    <col min="8703" max="8703" width="4.88671875" style="17" customWidth="1"/>
    <col min="8704" max="8704" width="31.6640625" style="17" bestFit="1" customWidth="1"/>
    <col min="8705" max="8707" width="10.44140625" style="17" customWidth="1"/>
    <col min="8708" max="8708" width="0" style="17" hidden="1" customWidth="1"/>
    <col min="8709" max="8711" width="10.44140625" style="17" customWidth="1"/>
    <col min="8712" max="8712" width="0" style="17" hidden="1" customWidth="1"/>
    <col min="8713" max="8715" width="10.44140625" style="17" customWidth="1"/>
    <col min="8716" max="8716" width="0" style="17" hidden="1" customWidth="1"/>
    <col min="8717" max="8719" width="10.44140625" style="17" customWidth="1"/>
    <col min="8720" max="8720" width="0" style="17" hidden="1" customWidth="1"/>
    <col min="8721" max="8721" width="10.44140625" style="17" customWidth="1"/>
    <col min="8722" max="8958" width="11.44140625" style="17"/>
    <col min="8959" max="8959" width="4.88671875" style="17" customWidth="1"/>
    <col min="8960" max="8960" width="31.6640625" style="17" bestFit="1" customWidth="1"/>
    <col min="8961" max="8963" width="10.44140625" style="17" customWidth="1"/>
    <col min="8964" max="8964" width="0" style="17" hidden="1" customWidth="1"/>
    <col min="8965" max="8967" width="10.44140625" style="17" customWidth="1"/>
    <col min="8968" max="8968" width="0" style="17" hidden="1" customWidth="1"/>
    <col min="8969" max="8971" width="10.44140625" style="17" customWidth="1"/>
    <col min="8972" max="8972" width="0" style="17" hidden="1" customWidth="1"/>
    <col min="8973" max="8975" width="10.44140625" style="17" customWidth="1"/>
    <col min="8976" max="8976" width="0" style="17" hidden="1" customWidth="1"/>
    <col min="8977" max="8977" width="10.44140625" style="17" customWidth="1"/>
    <col min="8978" max="9214" width="11.44140625" style="17"/>
    <col min="9215" max="9215" width="4.88671875" style="17" customWidth="1"/>
    <col min="9216" max="9216" width="31.6640625" style="17" bestFit="1" customWidth="1"/>
    <col min="9217" max="9219" width="10.44140625" style="17" customWidth="1"/>
    <col min="9220" max="9220" width="0" style="17" hidden="1" customWidth="1"/>
    <col min="9221" max="9223" width="10.44140625" style="17" customWidth="1"/>
    <col min="9224" max="9224" width="0" style="17" hidden="1" customWidth="1"/>
    <col min="9225" max="9227" width="10.44140625" style="17" customWidth="1"/>
    <col min="9228" max="9228" width="0" style="17" hidden="1" customWidth="1"/>
    <col min="9229" max="9231" width="10.44140625" style="17" customWidth="1"/>
    <col min="9232" max="9232" width="0" style="17" hidden="1" customWidth="1"/>
    <col min="9233" max="9233" width="10.44140625" style="17" customWidth="1"/>
    <col min="9234" max="9470" width="11.44140625" style="17"/>
    <col min="9471" max="9471" width="4.88671875" style="17" customWidth="1"/>
    <col min="9472" max="9472" width="31.6640625" style="17" bestFit="1" customWidth="1"/>
    <col min="9473" max="9475" width="10.44140625" style="17" customWidth="1"/>
    <col min="9476" max="9476" width="0" style="17" hidden="1" customWidth="1"/>
    <col min="9477" max="9479" width="10.44140625" style="17" customWidth="1"/>
    <col min="9480" max="9480" width="0" style="17" hidden="1" customWidth="1"/>
    <col min="9481" max="9483" width="10.44140625" style="17" customWidth="1"/>
    <col min="9484" max="9484" width="0" style="17" hidden="1" customWidth="1"/>
    <col min="9485" max="9487" width="10.44140625" style="17" customWidth="1"/>
    <col min="9488" max="9488" width="0" style="17" hidden="1" customWidth="1"/>
    <col min="9489" max="9489" width="10.44140625" style="17" customWidth="1"/>
    <col min="9490" max="9726" width="11.44140625" style="17"/>
    <col min="9727" max="9727" width="4.88671875" style="17" customWidth="1"/>
    <col min="9728" max="9728" width="31.6640625" style="17" bestFit="1" customWidth="1"/>
    <col min="9729" max="9731" width="10.44140625" style="17" customWidth="1"/>
    <col min="9732" max="9732" width="0" style="17" hidden="1" customWidth="1"/>
    <col min="9733" max="9735" width="10.44140625" style="17" customWidth="1"/>
    <col min="9736" max="9736" width="0" style="17" hidden="1" customWidth="1"/>
    <col min="9737" max="9739" width="10.44140625" style="17" customWidth="1"/>
    <col min="9740" max="9740" width="0" style="17" hidden="1" customWidth="1"/>
    <col min="9741" max="9743" width="10.44140625" style="17" customWidth="1"/>
    <col min="9744" max="9744" width="0" style="17" hidden="1" customWidth="1"/>
    <col min="9745" max="9745" width="10.44140625" style="17" customWidth="1"/>
    <col min="9746" max="9982" width="11.44140625" style="17"/>
    <col min="9983" max="9983" width="4.88671875" style="17" customWidth="1"/>
    <col min="9984" max="9984" width="31.6640625" style="17" bestFit="1" customWidth="1"/>
    <col min="9985" max="9987" width="10.44140625" style="17" customWidth="1"/>
    <col min="9988" max="9988" width="0" style="17" hidden="1" customWidth="1"/>
    <col min="9989" max="9991" width="10.44140625" style="17" customWidth="1"/>
    <col min="9992" max="9992" width="0" style="17" hidden="1" customWidth="1"/>
    <col min="9993" max="9995" width="10.44140625" style="17" customWidth="1"/>
    <col min="9996" max="9996" width="0" style="17" hidden="1" customWidth="1"/>
    <col min="9997" max="9999" width="10.44140625" style="17" customWidth="1"/>
    <col min="10000" max="10000" width="0" style="17" hidden="1" customWidth="1"/>
    <col min="10001" max="10001" width="10.44140625" style="17" customWidth="1"/>
    <col min="10002" max="10238" width="11.44140625" style="17"/>
    <col min="10239" max="10239" width="4.88671875" style="17" customWidth="1"/>
    <col min="10240" max="10240" width="31.6640625" style="17" bestFit="1" customWidth="1"/>
    <col min="10241" max="10243" width="10.44140625" style="17" customWidth="1"/>
    <col min="10244" max="10244" width="0" style="17" hidden="1" customWidth="1"/>
    <col min="10245" max="10247" width="10.44140625" style="17" customWidth="1"/>
    <col min="10248" max="10248" width="0" style="17" hidden="1" customWidth="1"/>
    <col min="10249" max="10251" width="10.44140625" style="17" customWidth="1"/>
    <col min="10252" max="10252" width="0" style="17" hidden="1" customWidth="1"/>
    <col min="10253" max="10255" width="10.44140625" style="17" customWidth="1"/>
    <col min="10256" max="10256" width="0" style="17" hidden="1" customWidth="1"/>
    <col min="10257" max="10257" width="10.44140625" style="17" customWidth="1"/>
    <col min="10258" max="10494" width="11.44140625" style="17"/>
    <col min="10495" max="10495" width="4.88671875" style="17" customWidth="1"/>
    <col min="10496" max="10496" width="31.6640625" style="17" bestFit="1" customWidth="1"/>
    <col min="10497" max="10499" width="10.44140625" style="17" customWidth="1"/>
    <col min="10500" max="10500" width="0" style="17" hidden="1" customWidth="1"/>
    <col min="10501" max="10503" width="10.44140625" style="17" customWidth="1"/>
    <col min="10504" max="10504" width="0" style="17" hidden="1" customWidth="1"/>
    <col min="10505" max="10507" width="10.44140625" style="17" customWidth="1"/>
    <col min="10508" max="10508" width="0" style="17" hidden="1" customWidth="1"/>
    <col min="10509" max="10511" width="10.44140625" style="17" customWidth="1"/>
    <col min="10512" max="10512" width="0" style="17" hidden="1" customWidth="1"/>
    <col min="10513" max="10513" width="10.44140625" style="17" customWidth="1"/>
    <col min="10514" max="10750" width="11.44140625" style="17"/>
    <col min="10751" max="10751" width="4.88671875" style="17" customWidth="1"/>
    <col min="10752" max="10752" width="31.6640625" style="17" bestFit="1" customWidth="1"/>
    <col min="10753" max="10755" width="10.44140625" style="17" customWidth="1"/>
    <col min="10756" max="10756" width="0" style="17" hidden="1" customWidth="1"/>
    <col min="10757" max="10759" width="10.44140625" style="17" customWidth="1"/>
    <col min="10760" max="10760" width="0" style="17" hidden="1" customWidth="1"/>
    <col min="10761" max="10763" width="10.44140625" style="17" customWidth="1"/>
    <col min="10764" max="10764" width="0" style="17" hidden="1" customWidth="1"/>
    <col min="10765" max="10767" width="10.44140625" style="17" customWidth="1"/>
    <col min="10768" max="10768" width="0" style="17" hidden="1" customWidth="1"/>
    <col min="10769" max="10769" width="10.44140625" style="17" customWidth="1"/>
    <col min="10770" max="11006" width="11.44140625" style="17"/>
    <col min="11007" max="11007" width="4.88671875" style="17" customWidth="1"/>
    <col min="11008" max="11008" width="31.6640625" style="17" bestFit="1" customWidth="1"/>
    <col min="11009" max="11011" width="10.44140625" style="17" customWidth="1"/>
    <col min="11012" max="11012" width="0" style="17" hidden="1" customWidth="1"/>
    <col min="11013" max="11015" width="10.44140625" style="17" customWidth="1"/>
    <col min="11016" max="11016" width="0" style="17" hidden="1" customWidth="1"/>
    <col min="11017" max="11019" width="10.44140625" style="17" customWidth="1"/>
    <col min="11020" max="11020" width="0" style="17" hidden="1" customWidth="1"/>
    <col min="11021" max="11023" width="10.44140625" style="17" customWidth="1"/>
    <col min="11024" max="11024" width="0" style="17" hidden="1" customWidth="1"/>
    <col min="11025" max="11025" width="10.44140625" style="17" customWidth="1"/>
    <col min="11026" max="11262" width="11.44140625" style="17"/>
    <col min="11263" max="11263" width="4.88671875" style="17" customWidth="1"/>
    <col min="11264" max="11264" width="31.6640625" style="17" bestFit="1" customWidth="1"/>
    <col min="11265" max="11267" width="10.44140625" style="17" customWidth="1"/>
    <col min="11268" max="11268" width="0" style="17" hidden="1" customWidth="1"/>
    <col min="11269" max="11271" width="10.44140625" style="17" customWidth="1"/>
    <col min="11272" max="11272" width="0" style="17" hidden="1" customWidth="1"/>
    <col min="11273" max="11275" width="10.44140625" style="17" customWidth="1"/>
    <col min="11276" max="11276" width="0" style="17" hidden="1" customWidth="1"/>
    <col min="11277" max="11279" width="10.44140625" style="17" customWidth="1"/>
    <col min="11280" max="11280" width="0" style="17" hidden="1" customWidth="1"/>
    <col min="11281" max="11281" width="10.44140625" style="17" customWidth="1"/>
    <col min="11282" max="11518" width="11.44140625" style="17"/>
    <col min="11519" max="11519" width="4.88671875" style="17" customWidth="1"/>
    <col min="11520" max="11520" width="31.6640625" style="17" bestFit="1" customWidth="1"/>
    <col min="11521" max="11523" width="10.44140625" style="17" customWidth="1"/>
    <col min="11524" max="11524" width="0" style="17" hidden="1" customWidth="1"/>
    <col min="11525" max="11527" width="10.44140625" style="17" customWidth="1"/>
    <col min="11528" max="11528" width="0" style="17" hidden="1" customWidth="1"/>
    <col min="11529" max="11531" width="10.44140625" style="17" customWidth="1"/>
    <col min="11532" max="11532" width="0" style="17" hidden="1" customWidth="1"/>
    <col min="11533" max="11535" width="10.44140625" style="17" customWidth="1"/>
    <col min="11536" max="11536" width="0" style="17" hidden="1" customWidth="1"/>
    <col min="11537" max="11537" width="10.44140625" style="17" customWidth="1"/>
    <col min="11538" max="11774" width="11.44140625" style="17"/>
    <col min="11775" max="11775" width="4.88671875" style="17" customWidth="1"/>
    <col min="11776" max="11776" width="31.6640625" style="17" bestFit="1" customWidth="1"/>
    <col min="11777" max="11779" width="10.44140625" style="17" customWidth="1"/>
    <col min="11780" max="11780" width="0" style="17" hidden="1" customWidth="1"/>
    <col min="11781" max="11783" width="10.44140625" style="17" customWidth="1"/>
    <col min="11784" max="11784" width="0" style="17" hidden="1" customWidth="1"/>
    <col min="11785" max="11787" width="10.44140625" style="17" customWidth="1"/>
    <col min="11788" max="11788" width="0" style="17" hidden="1" customWidth="1"/>
    <col min="11789" max="11791" width="10.44140625" style="17" customWidth="1"/>
    <col min="11792" max="11792" width="0" style="17" hidden="1" customWidth="1"/>
    <col min="11793" max="11793" width="10.44140625" style="17" customWidth="1"/>
    <col min="11794" max="12030" width="11.44140625" style="17"/>
    <col min="12031" max="12031" width="4.88671875" style="17" customWidth="1"/>
    <col min="12032" max="12032" width="31.6640625" style="17" bestFit="1" customWidth="1"/>
    <col min="12033" max="12035" width="10.44140625" style="17" customWidth="1"/>
    <col min="12036" max="12036" width="0" style="17" hidden="1" customWidth="1"/>
    <col min="12037" max="12039" width="10.44140625" style="17" customWidth="1"/>
    <col min="12040" max="12040" width="0" style="17" hidden="1" customWidth="1"/>
    <col min="12041" max="12043" width="10.44140625" style="17" customWidth="1"/>
    <col min="12044" max="12044" width="0" style="17" hidden="1" customWidth="1"/>
    <col min="12045" max="12047" width="10.44140625" style="17" customWidth="1"/>
    <col min="12048" max="12048" width="0" style="17" hidden="1" customWidth="1"/>
    <col min="12049" max="12049" width="10.44140625" style="17" customWidth="1"/>
    <col min="12050" max="12286" width="11.44140625" style="17"/>
    <col min="12287" max="12287" width="4.88671875" style="17" customWidth="1"/>
    <col min="12288" max="12288" width="31.6640625" style="17" bestFit="1" customWidth="1"/>
    <col min="12289" max="12291" width="10.44140625" style="17" customWidth="1"/>
    <col min="12292" max="12292" width="0" style="17" hidden="1" customWidth="1"/>
    <col min="12293" max="12295" width="10.44140625" style="17" customWidth="1"/>
    <col min="12296" max="12296" width="0" style="17" hidden="1" customWidth="1"/>
    <col min="12297" max="12299" width="10.44140625" style="17" customWidth="1"/>
    <col min="12300" max="12300" width="0" style="17" hidden="1" customWidth="1"/>
    <col min="12301" max="12303" width="10.44140625" style="17" customWidth="1"/>
    <col min="12304" max="12304" width="0" style="17" hidden="1" customWidth="1"/>
    <col min="12305" max="12305" width="10.44140625" style="17" customWidth="1"/>
    <col min="12306" max="12542" width="11.44140625" style="17"/>
    <col min="12543" max="12543" width="4.88671875" style="17" customWidth="1"/>
    <col min="12544" max="12544" width="31.6640625" style="17" bestFit="1" customWidth="1"/>
    <col min="12545" max="12547" width="10.44140625" style="17" customWidth="1"/>
    <col min="12548" max="12548" width="0" style="17" hidden="1" customWidth="1"/>
    <col min="12549" max="12551" width="10.44140625" style="17" customWidth="1"/>
    <col min="12552" max="12552" width="0" style="17" hidden="1" customWidth="1"/>
    <col min="12553" max="12555" width="10.44140625" style="17" customWidth="1"/>
    <col min="12556" max="12556" width="0" style="17" hidden="1" customWidth="1"/>
    <col min="12557" max="12559" width="10.44140625" style="17" customWidth="1"/>
    <col min="12560" max="12560" width="0" style="17" hidden="1" customWidth="1"/>
    <col min="12561" max="12561" width="10.44140625" style="17" customWidth="1"/>
    <col min="12562" max="12798" width="11.44140625" style="17"/>
    <col min="12799" max="12799" width="4.88671875" style="17" customWidth="1"/>
    <col min="12800" max="12800" width="31.6640625" style="17" bestFit="1" customWidth="1"/>
    <col min="12801" max="12803" width="10.44140625" style="17" customWidth="1"/>
    <col min="12804" max="12804" width="0" style="17" hidden="1" customWidth="1"/>
    <col min="12805" max="12807" width="10.44140625" style="17" customWidth="1"/>
    <col min="12808" max="12808" width="0" style="17" hidden="1" customWidth="1"/>
    <col min="12809" max="12811" width="10.44140625" style="17" customWidth="1"/>
    <col min="12812" max="12812" width="0" style="17" hidden="1" customWidth="1"/>
    <col min="12813" max="12815" width="10.44140625" style="17" customWidth="1"/>
    <col min="12816" max="12816" width="0" style="17" hidden="1" customWidth="1"/>
    <col min="12817" max="12817" width="10.44140625" style="17" customWidth="1"/>
    <col min="12818" max="13054" width="11.44140625" style="17"/>
    <col min="13055" max="13055" width="4.88671875" style="17" customWidth="1"/>
    <col min="13056" max="13056" width="31.6640625" style="17" bestFit="1" customWidth="1"/>
    <col min="13057" max="13059" width="10.44140625" style="17" customWidth="1"/>
    <col min="13060" max="13060" width="0" style="17" hidden="1" customWidth="1"/>
    <col min="13061" max="13063" width="10.44140625" style="17" customWidth="1"/>
    <col min="13064" max="13064" width="0" style="17" hidden="1" customWidth="1"/>
    <col min="13065" max="13067" width="10.44140625" style="17" customWidth="1"/>
    <col min="13068" max="13068" width="0" style="17" hidden="1" customWidth="1"/>
    <col min="13069" max="13071" width="10.44140625" style="17" customWidth="1"/>
    <col min="13072" max="13072" width="0" style="17" hidden="1" customWidth="1"/>
    <col min="13073" max="13073" width="10.44140625" style="17" customWidth="1"/>
    <col min="13074" max="13310" width="11.44140625" style="17"/>
    <col min="13311" max="13311" width="4.88671875" style="17" customWidth="1"/>
    <col min="13312" max="13312" width="31.6640625" style="17" bestFit="1" customWidth="1"/>
    <col min="13313" max="13315" width="10.44140625" style="17" customWidth="1"/>
    <col min="13316" max="13316" width="0" style="17" hidden="1" customWidth="1"/>
    <col min="13317" max="13319" width="10.44140625" style="17" customWidth="1"/>
    <col min="13320" max="13320" width="0" style="17" hidden="1" customWidth="1"/>
    <col min="13321" max="13323" width="10.44140625" style="17" customWidth="1"/>
    <col min="13324" max="13324" width="0" style="17" hidden="1" customWidth="1"/>
    <col min="13325" max="13327" width="10.44140625" style="17" customWidth="1"/>
    <col min="13328" max="13328" width="0" style="17" hidden="1" customWidth="1"/>
    <col min="13329" max="13329" width="10.44140625" style="17" customWidth="1"/>
    <col min="13330" max="13566" width="11.44140625" style="17"/>
    <col min="13567" max="13567" width="4.88671875" style="17" customWidth="1"/>
    <col min="13568" max="13568" width="31.6640625" style="17" bestFit="1" customWidth="1"/>
    <col min="13569" max="13571" width="10.44140625" style="17" customWidth="1"/>
    <col min="13572" max="13572" width="0" style="17" hidden="1" customWidth="1"/>
    <col min="13573" max="13575" width="10.44140625" style="17" customWidth="1"/>
    <col min="13576" max="13576" width="0" style="17" hidden="1" customWidth="1"/>
    <col min="13577" max="13579" width="10.44140625" style="17" customWidth="1"/>
    <col min="13580" max="13580" width="0" style="17" hidden="1" customWidth="1"/>
    <col min="13581" max="13583" width="10.44140625" style="17" customWidth="1"/>
    <col min="13584" max="13584" width="0" style="17" hidden="1" customWidth="1"/>
    <col min="13585" max="13585" width="10.44140625" style="17" customWidth="1"/>
    <col min="13586" max="13822" width="11.44140625" style="17"/>
    <col min="13823" max="13823" width="4.88671875" style="17" customWidth="1"/>
    <col min="13824" max="13824" width="31.6640625" style="17" bestFit="1" customWidth="1"/>
    <col min="13825" max="13827" width="10.44140625" style="17" customWidth="1"/>
    <col min="13828" max="13828" width="0" style="17" hidden="1" customWidth="1"/>
    <col min="13829" max="13831" width="10.44140625" style="17" customWidth="1"/>
    <col min="13832" max="13832" width="0" style="17" hidden="1" customWidth="1"/>
    <col min="13833" max="13835" width="10.44140625" style="17" customWidth="1"/>
    <col min="13836" max="13836" width="0" style="17" hidden="1" customWidth="1"/>
    <col min="13837" max="13839" width="10.44140625" style="17" customWidth="1"/>
    <col min="13840" max="13840" width="0" style="17" hidden="1" customWidth="1"/>
    <col min="13841" max="13841" width="10.44140625" style="17" customWidth="1"/>
    <col min="13842" max="14078" width="11.44140625" style="17"/>
    <col min="14079" max="14079" width="4.88671875" style="17" customWidth="1"/>
    <col min="14080" max="14080" width="31.6640625" style="17" bestFit="1" customWidth="1"/>
    <col min="14081" max="14083" width="10.44140625" style="17" customWidth="1"/>
    <col min="14084" max="14084" width="0" style="17" hidden="1" customWidth="1"/>
    <col min="14085" max="14087" width="10.44140625" style="17" customWidth="1"/>
    <col min="14088" max="14088" width="0" style="17" hidden="1" customWidth="1"/>
    <col min="14089" max="14091" width="10.44140625" style="17" customWidth="1"/>
    <col min="14092" max="14092" width="0" style="17" hidden="1" customWidth="1"/>
    <col min="14093" max="14095" width="10.44140625" style="17" customWidth="1"/>
    <col min="14096" max="14096" width="0" style="17" hidden="1" customWidth="1"/>
    <col min="14097" max="14097" width="10.44140625" style="17" customWidth="1"/>
    <col min="14098" max="14334" width="11.44140625" style="17"/>
    <col min="14335" max="14335" width="4.88671875" style="17" customWidth="1"/>
    <col min="14336" max="14336" width="31.6640625" style="17" bestFit="1" customWidth="1"/>
    <col min="14337" max="14339" width="10.44140625" style="17" customWidth="1"/>
    <col min="14340" max="14340" width="0" style="17" hidden="1" customWidth="1"/>
    <col min="14341" max="14343" width="10.44140625" style="17" customWidth="1"/>
    <col min="14344" max="14344" width="0" style="17" hidden="1" customWidth="1"/>
    <col min="14345" max="14347" width="10.44140625" style="17" customWidth="1"/>
    <col min="14348" max="14348" width="0" style="17" hidden="1" customWidth="1"/>
    <col min="14349" max="14351" width="10.44140625" style="17" customWidth="1"/>
    <col min="14352" max="14352" width="0" style="17" hidden="1" customWidth="1"/>
    <col min="14353" max="14353" width="10.44140625" style="17" customWidth="1"/>
    <col min="14354" max="14590" width="11.44140625" style="17"/>
    <col min="14591" max="14591" width="4.88671875" style="17" customWidth="1"/>
    <col min="14592" max="14592" width="31.6640625" style="17" bestFit="1" customWidth="1"/>
    <col min="14593" max="14595" width="10.44140625" style="17" customWidth="1"/>
    <col min="14596" max="14596" width="0" style="17" hidden="1" customWidth="1"/>
    <col min="14597" max="14599" width="10.44140625" style="17" customWidth="1"/>
    <col min="14600" max="14600" width="0" style="17" hidden="1" customWidth="1"/>
    <col min="14601" max="14603" width="10.44140625" style="17" customWidth="1"/>
    <col min="14604" max="14604" width="0" style="17" hidden="1" customWidth="1"/>
    <col min="14605" max="14607" width="10.44140625" style="17" customWidth="1"/>
    <col min="14608" max="14608" width="0" style="17" hidden="1" customWidth="1"/>
    <col min="14609" max="14609" width="10.44140625" style="17" customWidth="1"/>
    <col min="14610" max="14846" width="11.44140625" style="17"/>
    <col min="14847" max="14847" width="4.88671875" style="17" customWidth="1"/>
    <col min="14848" max="14848" width="31.6640625" style="17" bestFit="1" customWidth="1"/>
    <col min="14849" max="14851" width="10.44140625" style="17" customWidth="1"/>
    <col min="14852" max="14852" width="0" style="17" hidden="1" customWidth="1"/>
    <col min="14853" max="14855" width="10.44140625" style="17" customWidth="1"/>
    <col min="14856" max="14856" width="0" style="17" hidden="1" customWidth="1"/>
    <col min="14857" max="14859" width="10.44140625" style="17" customWidth="1"/>
    <col min="14860" max="14860" width="0" style="17" hidden="1" customWidth="1"/>
    <col min="14861" max="14863" width="10.44140625" style="17" customWidth="1"/>
    <col min="14864" max="14864" width="0" style="17" hidden="1" customWidth="1"/>
    <col min="14865" max="14865" width="10.44140625" style="17" customWidth="1"/>
    <col min="14866" max="15102" width="11.44140625" style="17"/>
    <col min="15103" max="15103" width="4.88671875" style="17" customWidth="1"/>
    <col min="15104" max="15104" width="31.6640625" style="17" bestFit="1" customWidth="1"/>
    <col min="15105" max="15107" width="10.44140625" style="17" customWidth="1"/>
    <col min="15108" max="15108" width="0" style="17" hidden="1" customWidth="1"/>
    <col min="15109" max="15111" width="10.44140625" style="17" customWidth="1"/>
    <col min="15112" max="15112" width="0" style="17" hidden="1" customWidth="1"/>
    <col min="15113" max="15115" width="10.44140625" style="17" customWidth="1"/>
    <col min="15116" max="15116" width="0" style="17" hidden="1" customWidth="1"/>
    <col min="15117" max="15119" width="10.44140625" style="17" customWidth="1"/>
    <col min="15120" max="15120" width="0" style="17" hidden="1" customWidth="1"/>
    <col min="15121" max="15121" width="10.44140625" style="17" customWidth="1"/>
    <col min="15122" max="15358" width="11.44140625" style="17"/>
    <col min="15359" max="15359" width="4.88671875" style="17" customWidth="1"/>
    <col min="15360" max="15360" width="31.6640625" style="17" bestFit="1" customWidth="1"/>
    <col min="15361" max="15363" width="10.44140625" style="17" customWidth="1"/>
    <col min="15364" max="15364" width="0" style="17" hidden="1" customWidth="1"/>
    <col min="15365" max="15367" width="10.44140625" style="17" customWidth="1"/>
    <col min="15368" max="15368" width="0" style="17" hidden="1" customWidth="1"/>
    <col min="15369" max="15371" width="10.44140625" style="17" customWidth="1"/>
    <col min="15372" max="15372" width="0" style="17" hidden="1" customWidth="1"/>
    <col min="15373" max="15375" width="10.44140625" style="17" customWidth="1"/>
    <col min="15376" max="15376" width="0" style="17" hidden="1" customWidth="1"/>
    <col min="15377" max="15377" width="10.44140625" style="17" customWidth="1"/>
    <col min="15378" max="15614" width="11.44140625" style="17"/>
    <col min="15615" max="15615" width="4.88671875" style="17" customWidth="1"/>
    <col min="15616" max="15616" width="31.6640625" style="17" bestFit="1" customWidth="1"/>
    <col min="15617" max="15619" width="10.44140625" style="17" customWidth="1"/>
    <col min="15620" max="15620" width="0" style="17" hidden="1" customWidth="1"/>
    <col min="15621" max="15623" width="10.44140625" style="17" customWidth="1"/>
    <col min="15624" max="15624" width="0" style="17" hidden="1" customWidth="1"/>
    <col min="15625" max="15627" width="10.44140625" style="17" customWidth="1"/>
    <col min="15628" max="15628" width="0" style="17" hidden="1" customWidth="1"/>
    <col min="15629" max="15631" width="10.44140625" style="17" customWidth="1"/>
    <col min="15632" max="15632" width="0" style="17" hidden="1" customWidth="1"/>
    <col min="15633" max="15633" width="10.44140625" style="17" customWidth="1"/>
    <col min="15634" max="15870" width="11.44140625" style="17"/>
    <col min="15871" max="15871" width="4.88671875" style="17" customWidth="1"/>
    <col min="15872" max="15872" width="31.6640625" style="17" bestFit="1" customWidth="1"/>
    <col min="15873" max="15875" width="10.44140625" style="17" customWidth="1"/>
    <col min="15876" max="15876" width="0" style="17" hidden="1" customWidth="1"/>
    <col min="15877" max="15879" width="10.44140625" style="17" customWidth="1"/>
    <col min="15880" max="15880" width="0" style="17" hidden="1" customWidth="1"/>
    <col min="15881" max="15883" width="10.44140625" style="17" customWidth="1"/>
    <col min="15884" max="15884" width="0" style="17" hidden="1" customWidth="1"/>
    <col min="15885" max="15887" width="10.44140625" style="17" customWidth="1"/>
    <col min="15888" max="15888" width="0" style="17" hidden="1" customWidth="1"/>
    <col min="15889" max="15889" width="10.44140625" style="17" customWidth="1"/>
    <col min="15890" max="16126" width="11.44140625" style="17"/>
    <col min="16127" max="16127" width="4.88671875" style="17" customWidth="1"/>
    <col min="16128" max="16128" width="31.6640625" style="17" bestFit="1" customWidth="1"/>
    <col min="16129" max="16131" width="10.44140625" style="17" customWidth="1"/>
    <col min="16132" max="16132" width="0" style="17" hidden="1" customWidth="1"/>
    <col min="16133" max="16135" width="10.44140625" style="17" customWidth="1"/>
    <col min="16136" max="16136" width="0" style="17" hidden="1" customWidth="1"/>
    <col min="16137" max="16139" width="10.44140625" style="17" customWidth="1"/>
    <col min="16140" max="16140" width="0" style="17" hidden="1" customWidth="1"/>
    <col min="16141" max="16143" width="10.44140625" style="17" customWidth="1"/>
    <col min="16144" max="16144" width="0" style="17" hidden="1" customWidth="1"/>
    <col min="16145" max="16145" width="10.44140625" style="17" customWidth="1"/>
    <col min="16146" max="16384" width="11.44140625" style="17"/>
  </cols>
  <sheetData>
    <row r="1" spans="2:24" ht="13.8" thickBot="1" x14ac:dyDescent="0.3">
      <c r="B1" s="1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4" ht="14.7" customHeight="1" x14ac:dyDescent="0.25">
      <c r="B2" s="16"/>
      <c r="C2" s="20"/>
      <c r="D2" s="160" t="s">
        <v>115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2"/>
      <c r="Q2" s="161" t="s">
        <v>113</v>
      </c>
      <c r="R2" s="161"/>
      <c r="S2" s="161"/>
      <c r="T2" s="161"/>
      <c r="U2" s="162"/>
      <c r="V2" s="160" t="s">
        <v>114</v>
      </c>
      <c r="W2" s="161"/>
      <c r="X2" s="162"/>
    </row>
    <row r="3" spans="2:24" s="19" customFormat="1" x14ac:dyDescent="0.25">
      <c r="B3" s="18"/>
      <c r="C3" s="18"/>
      <c r="D3" s="89" t="s">
        <v>26</v>
      </c>
      <c r="E3" s="18" t="s">
        <v>27</v>
      </c>
      <c r="F3" s="18" t="s">
        <v>28</v>
      </c>
      <c r="G3" s="18" t="s">
        <v>29</v>
      </c>
      <c r="H3" s="18" t="s">
        <v>30</v>
      </c>
      <c r="I3" s="18" t="s">
        <v>31</v>
      </c>
      <c r="J3" s="18" t="s">
        <v>32</v>
      </c>
      <c r="K3" s="18" t="s">
        <v>33</v>
      </c>
      <c r="L3" s="18" t="s">
        <v>34</v>
      </c>
      <c r="M3" s="18" t="s">
        <v>35</v>
      </c>
      <c r="N3" s="18" t="s">
        <v>36</v>
      </c>
      <c r="O3" s="18" t="s">
        <v>37</v>
      </c>
      <c r="P3" s="90" t="s">
        <v>196</v>
      </c>
      <c r="Q3" s="18" t="s">
        <v>107</v>
      </c>
      <c r="R3" s="18" t="s">
        <v>108</v>
      </c>
      <c r="S3" s="18" t="s">
        <v>109</v>
      </c>
      <c r="T3" s="18" t="s">
        <v>110</v>
      </c>
      <c r="U3" s="90" t="s">
        <v>196</v>
      </c>
      <c r="V3" s="89" t="s">
        <v>112</v>
      </c>
      <c r="W3" s="18" t="s">
        <v>111</v>
      </c>
      <c r="X3" s="105" t="s">
        <v>196</v>
      </c>
    </row>
    <row r="4" spans="2:24" ht="13.8" thickBot="1" x14ac:dyDescent="0.3">
      <c r="B4" s="16"/>
      <c r="C4" s="16"/>
      <c r="D4" s="106" t="s">
        <v>1</v>
      </c>
      <c r="E4" s="107" t="s">
        <v>1</v>
      </c>
      <c r="F4" s="107" t="s">
        <v>1</v>
      </c>
      <c r="G4" s="107" t="s">
        <v>1</v>
      </c>
      <c r="H4" s="107" t="s">
        <v>1</v>
      </c>
      <c r="I4" s="107" t="s">
        <v>1</v>
      </c>
      <c r="J4" s="107" t="s">
        <v>1</v>
      </c>
      <c r="K4" s="107" t="s">
        <v>1</v>
      </c>
      <c r="L4" s="107" t="s">
        <v>1</v>
      </c>
      <c r="M4" s="107" t="s">
        <v>1</v>
      </c>
      <c r="N4" s="107" t="s">
        <v>1</v>
      </c>
      <c r="O4" s="107" t="s">
        <v>1</v>
      </c>
      <c r="P4" s="108"/>
      <c r="Q4" s="107" t="s">
        <v>1</v>
      </c>
      <c r="R4" s="107" t="s">
        <v>1</v>
      </c>
      <c r="S4" s="107" t="s">
        <v>1</v>
      </c>
      <c r="T4" s="107" t="s">
        <v>1</v>
      </c>
      <c r="U4" s="108"/>
      <c r="V4" s="106" t="s">
        <v>1</v>
      </c>
      <c r="W4" s="107" t="s">
        <v>1</v>
      </c>
      <c r="X4" s="109"/>
    </row>
    <row r="5" spans="2:24" x14ac:dyDescent="0.25">
      <c r="B5" s="100" t="s">
        <v>5</v>
      </c>
      <c r="C5" s="101" t="s">
        <v>38</v>
      </c>
      <c r="D5" s="9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92"/>
      <c r="Q5" s="71"/>
      <c r="R5" s="71"/>
      <c r="S5" s="71"/>
      <c r="T5" s="71"/>
      <c r="U5" s="92"/>
      <c r="V5" s="91"/>
      <c r="W5" s="71"/>
      <c r="X5" s="103"/>
    </row>
    <row r="6" spans="2:24" x14ac:dyDescent="0.25">
      <c r="B6" s="102" t="s">
        <v>39</v>
      </c>
      <c r="C6" s="66" t="s">
        <v>45</v>
      </c>
      <c r="D6" s="91">
        <v>160000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  <c r="J6" s="71">
        <v>0</v>
      </c>
      <c r="K6" s="71">
        <v>0</v>
      </c>
      <c r="L6" s="71">
        <v>0</v>
      </c>
      <c r="M6" s="71">
        <v>0</v>
      </c>
      <c r="N6" s="71">
        <v>0</v>
      </c>
      <c r="O6" s="71">
        <v>0</v>
      </c>
      <c r="P6" s="92">
        <f>SUM(D6:O6)</f>
        <v>160000</v>
      </c>
      <c r="Q6" s="71">
        <v>0</v>
      </c>
      <c r="R6" s="71">
        <v>0</v>
      </c>
      <c r="S6" s="71">
        <v>0</v>
      </c>
      <c r="T6" s="71">
        <v>0</v>
      </c>
      <c r="U6" s="110">
        <f t="shared" ref="U6" si="0">Q6+R6+S6+T6</f>
        <v>0</v>
      </c>
      <c r="V6" s="91">
        <v>0</v>
      </c>
      <c r="W6" s="71">
        <v>0</v>
      </c>
      <c r="X6" s="110">
        <f>V6+W6</f>
        <v>0</v>
      </c>
    </row>
    <row r="7" spans="2:24" x14ac:dyDescent="0.25">
      <c r="B7" s="102" t="s">
        <v>41</v>
      </c>
      <c r="C7" s="66" t="s">
        <v>40</v>
      </c>
      <c r="D7" s="93">
        <f>'Entwicklung Kundenzahl'!C4*'Entwicklung Kundenzahl'!$C$7</f>
        <v>1780</v>
      </c>
      <c r="E7" s="70">
        <f>'Entwicklung Kundenzahl'!D4*'Entwicklung Kundenzahl'!$C$7</f>
        <v>5340</v>
      </c>
      <c r="F7" s="70">
        <f>'Entwicklung Kundenzahl'!E4*'Entwicklung Kundenzahl'!$C$7</f>
        <v>8900</v>
      </c>
      <c r="G7" s="70">
        <f>'Entwicklung Kundenzahl'!F4*'Entwicklung Kundenzahl'!$C$7</f>
        <v>12460</v>
      </c>
      <c r="H7" s="70">
        <f>'Entwicklung Kundenzahl'!G4*'Entwicklung Kundenzahl'!$C$7</f>
        <v>16020</v>
      </c>
      <c r="I7" s="70">
        <f>'Entwicklung Kundenzahl'!H4*'Entwicklung Kundenzahl'!$C$7</f>
        <v>19580</v>
      </c>
      <c r="J7" s="70">
        <f>'Entwicklung Kundenzahl'!I4*'Entwicklung Kundenzahl'!$C$7</f>
        <v>23140</v>
      </c>
      <c r="K7" s="70">
        <f>'Entwicklung Kundenzahl'!J4*'Entwicklung Kundenzahl'!$C$7</f>
        <v>26700</v>
      </c>
      <c r="L7" s="70">
        <f>'Entwicklung Kundenzahl'!K4*'Entwicklung Kundenzahl'!$C$7</f>
        <v>30260</v>
      </c>
      <c r="M7" s="70">
        <f>'Entwicklung Kundenzahl'!L4*'Entwicklung Kundenzahl'!$C$7</f>
        <v>33820</v>
      </c>
      <c r="N7" s="70">
        <f>'Entwicklung Kundenzahl'!M4*'Entwicklung Kundenzahl'!$C$7</f>
        <v>37380</v>
      </c>
      <c r="O7" s="70">
        <f>'Entwicklung Kundenzahl'!N4*'Entwicklung Kundenzahl'!$C$7</f>
        <v>40940</v>
      </c>
      <c r="P7" s="92">
        <f>SUM(D7:O7)</f>
        <v>256320</v>
      </c>
      <c r="Q7" s="70">
        <f>'Entwicklung Kundenzahl'!O4*'Entwicklung Kundenzahl'!$C$7*3</f>
        <v>154860</v>
      </c>
      <c r="R7" s="70">
        <f>'Entwicklung Kundenzahl'!P4*'Entwicklung Kundenzahl'!$C$7*3</f>
        <v>186900</v>
      </c>
      <c r="S7" s="70">
        <f>'Entwicklung Kundenzahl'!Q4*'Entwicklung Kundenzahl'!$C$7*3</f>
        <v>218940</v>
      </c>
      <c r="T7" s="70">
        <f>'Entwicklung Kundenzahl'!R4*'Entwicklung Kundenzahl'!$C$7*3</f>
        <v>250980</v>
      </c>
      <c r="U7" s="110">
        <f>Q7+R7+S7+T7</f>
        <v>811680</v>
      </c>
      <c r="V7" s="93">
        <f>'Entwicklung Kundenzahl'!S4*'Entwicklung Kundenzahl'!$C$7*6</f>
        <v>630120</v>
      </c>
      <c r="W7" s="70">
        <f>'Entwicklung Kundenzahl'!T4*'Entwicklung Kundenzahl'!$C$7*6</f>
        <v>758280</v>
      </c>
      <c r="X7" s="110">
        <f>V7+W7</f>
        <v>1388400</v>
      </c>
    </row>
    <row r="8" spans="2:24" x14ac:dyDescent="0.25">
      <c r="B8" s="102" t="s">
        <v>43</v>
      </c>
      <c r="C8" s="66" t="s">
        <v>42</v>
      </c>
      <c r="D8" s="93">
        <f>D15*1.1</f>
        <v>1100</v>
      </c>
      <c r="E8" s="70">
        <f t="shared" ref="E8:W8" si="1">E15*1.1</f>
        <v>3300.0000000000005</v>
      </c>
      <c r="F8" s="70">
        <f t="shared" si="1"/>
        <v>5500</v>
      </c>
      <c r="G8" s="70">
        <f t="shared" si="1"/>
        <v>7700.0000000000009</v>
      </c>
      <c r="H8" s="70">
        <f t="shared" si="1"/>
        <v>9900</v>
      </c>
      <c r="I8" s="70">
        <f t="shared" si="1"/>
        <v>12100.000000000002</v>
      </c>
      <c r="J8" s="70">
        <f t="shared" si="1"/>
        <v>14300.000000000002</v>
      </c>
      <c r="K8" s="70">
        <f t="shared" si="1"/>
        <v>16500</v>
      </c>
      <c r="L8" s="70">
        <f t="shared" si="1"/>
        <v>18700</v>
      </c>
      <c r="M8" s="70">
        <f t="shared" si="1"/>
        <v>20900</v>
      </c>
      <c r="N8" s="70">
        <f t="shared" si="1"/>
        <v>23100.000000000004</v>
      </c>
      <c r="O8" s="70">
        <f t="shared" si="1"/>
        <v>25300.000000000004</v>
      </c>
      <c r="P8" s="92">
        <f t="shared" ref="P8:P11" si="2">SUM(D8:O8)</f>
        <v>158400</v>
      </c>
      <c r="Q8" s="70">
        <f t="shared" si="1"/>
        <v>115500.00000000001</v>
      </c>
      <c r="R8" s="70">
        <f t="shared" si="1"/>
        <v>135300</v>
      </c>
      <c r="S8" s="70">
        <f t="shared" si="1"/>
        <v>155100</v>
      </c>
      <c r="T8" s="70">
        <f t="shared" si="1"/>
        <v>194700.00000000003</v>
      </c>
      <c r="U8" s="110">
        <f t="shared" ref="U8:U11" si="3">Q8+R8+S8+T8</f>
        <v>600600</v>
      </c>
      <c r="V8" s="93">
        <f t="shared" si="1"/>
        <v>389400.00000000006</v>
      </c>
      <c r="W8" s="70">
        <f t="shared" si="1"/>
        <v>468600.00000000006</v>
      </c>
      <c r="X8" s="110">
        <f t="shared" ref="X8:X11" si="4">V8+W8</f>
        <v>858000.00000000012</v>
      </c>
    </row>
    <row r="9" spans="2:24" x14ac:dyDescent="0.25">
      <c r="B9" s="102" t="s">
        <v>44</v>
      </c>
      <c r="C9" s="66" t="s">
        <v>198</v>
      </c>
      <c r="D9" s="93">
        <v>0</v>
      </c>
      <c r="E9" s="71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92">
        <f t="shared" si="2"/>
        <v>0</v>
      </c>
      <c r="Q9" s="71">
        <v>0</v>
      </c>
      <c r="R9" s="71">
        <v>0</v>
      </c>
      <c r="S9" s="71">
        <v>0</v>
      </c>
      <c r="T9" s="71">
        <v>0</v>
      </c>
      <c r="U9" s="110">
        <f t="shared" si="3"/>
        <v>0</v>
      </c>
      <c r="V9" s="91">
        <v>0</v>
      </c>
      <c r="W9" s="71">
        <v>0</v>
      </c>
      <c r="X9" s="110">
        <f t="shared" si="4"/>
        <v>0</v>
      </c>
    </row>
    <row r="10" spans="2:24" x14ac:dyDescent="0.25">
      <c r="B10" s="102" t="s">
        <v>46</v>
      </c>
      <c r="C10" s="66" t="s">
        <v>223</v>
      </c>
      <c r="D10" s="93">
        <v>0</v>
      </c>
      <c r="E10" s="71">
        <f>(D15+D20+D21+D22+D23+D24+D25+D26+D27+D30+D31+D32+D34+D38)*19/119</f>
        <v>51716.722689075628</v>
      </c>
      <c r="F10" s="71">
        <f t="shared" ref="F10:O10" si="5">(E15+E20+E21+E22+E23+E24+E25+E26+E27+E30+E31+E32+E34+E38)*19/119</f>
        <v>6164.6218487394954</v>
      </c>
      <c r="G10" s="71">
        <f t="shared" si="5"/>
        <v>6483.9495798319331</v>
      </c>
      <c r="H10" s="71">
        <f t="shared" si="5"/>
        <v>3424.7899159663866</v>
      </c>
      <c r="I10" s="71">
        <f t="shared" si="5"/>
        <v>3744.1176470588234</v>
      </c>
      <c r="J10" s="71">
        <f t="shared" si="5"/>
        <v>4063.4453781512607</v>
      </c>
      <c r="K10" s="71">
        <f t="shared" si="5"/>
        <v>4382.773109243697</v>
      </c>
      <c r="L10" s="71">
        <f t="shared" si="5"/>
        <v>4702.1008403361348</v>
      </c>
      <c r="M10" s="71">
        <f t="shared" si="5"/>
        <v>5021.4285714285716</v>
      </c>
      <c r="N10" s="71">
        <f t="shared" si="5"/>
        <v>5340.7563025210084</v>
      </c>
      <c r="O10" s="71">
        <f t="shared" si="5"/>
        <v>5660.0840336134452</v>
      </c>
      <c r="P10" s="92">
        <f>SUM(D10:O10)</f>
        <v>100704.78991596638</v>
      </c>
      <c r="Q10" s="71">
        <f>(Q15+Q20+Q21+Q22+Q23+Q24+Q25+Q26+Q27+Q30+Q31+Q32+Q34+Q38)*19/119</f>
        <v>23686.134453781513</v>
      </c>
      <c r="R10" s="71">
        <f t="shared" ref="R10:T10" si="6">(R15+R20+R21+R22+R23+R24+R25+R26+R27+R30+R31+R32+R34+R38)*19/119</f>
        <v>26560.084033613446</v>
      </c>
      <c r="S10" s="71">
        <f t="shared" si="6"/>
        <v>29434.033613445379</v>
      </c>
      <c r="T10" s="71">
        <f t="shared" si="6"/>
        <v>35181.932773109242</v>
      </c>
      <c r="U10" s="110">
        <f t="shared" si="3"/>
        <v>114862.18487394959</v>
      </c>
      <c r="V10" s="71">
        <f>(V15+V20+V21+V22+V23+V24+V25+V26+V27+V30+V31+V32+V34+V38)*19/119</f>
        <v>70363.865546218483</v>
      </c>
      <c r="W10" s="71">
        <f>(W15+W20+W21+W22+W23+W24+W25+W26+W27+W30+W31+W32+W34+W38)*19/119</f>
        <v>81859.663865546216</v>
      </c>
      <c r="X10" s="110">
        <f t="shared" si="4"/>
        <v>152223.5294117647</v>
      </c>
    </row>
    <row r="11" spans="2:24" x14ac:dyDescent="0.25">
      <c r="B11" s="102" t="s">
        <v>86</v>
      </c>
      <c r="C11" s="66" t="s">
        <v>47</v>
      </c>
      <c r="D11" s="93">
        <v>200000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92">
        <f t="shared" si="2"/>
        <v>200000</v>
      </c>
      <c r="Q11" s="71">
        <v>0</v>
      </c>
      <c r="R11" s="71">
        <f>G11+J11+M11+Q11</f>
        <v>0</v>
      </c>
      <c r="S11" s="71">
        <f>H11+K11+N11+R11</f>
        <v>0</v>
      </c>
      <c r="T11" s="71">
        <f>I11+L11+O11+S11</f>
        <v>0</v>
      </c>
      <c r="U11" s="110">
        <f t="shared" si="3"/>
        <v>0</v>
      </c>
      <c r="V11" s="91">
        <v>0</v>
      </c>
      <c r="W11" s="71">
        <f>K11+N11+Q11+V11</f>
        <v>0</v>
      </c>
      <c r="X11" s="110">
        <f t="shared" si="4"/>
        <v>0</v>
      </c>
    </row>
    <row r="12" spans="2:24" x14ac:dyDescent="0.25">
      <c r="B12" s="102"/>
      <c r="C12" s="66"/>
      <c r="D12" s="9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92"/>
      <c r="Q12" s="71"/>
      <c r="R12" s="71"/>
      <c r="S12" s="71"/>
      <c r="T12" s="71"/>
      <c r="U12" s="92"/>
      <c r="V12" s="91"/>
      <c r="W12" s="71"/>
      <c r="X12" s="103"/>
    </row>
    <row r="13" spans="2:24" x14ac:dyDescent="0.25">
      <c r="B13" s="136"/>
      <c r="C13" s="67" t="s">
        <v>48</v>
      </c>
      <c r="D13" s="94">
        <f>SUM(D5:D12)</f>
        <v>362880</v>
      </c>
      <c r="E13" s="87">
        <f>SUM(E6:E12)</f>
        <v>60356.722689075628</v>
      </c>
      <c r="F13" s="87">
        <f t="shared" ref="F13:O13" si="7">SUM(F6:F12)</f>
        <v>20564.621848739494</v>
      </c>
      <c r="G13" s="87">
        <f t="shared" si="7"/>
        <v>26643.949579831933</v>
      </c>
      <c r="H13" s="87">
        <f t="shared" si="7"/>
        <v>29344.789915966387</v>
      </c>
      <c r="I13" s="87">
        <f t="shared" si="7"/>
        <v>35424.117647058825</v>
      </c>
      <c r="J13" s="87">
        <f t="shared" si="7"/>
        <v>41503.445378151264</v>
      </c>
      <c r="K13" s="87">
        <f t="shared" si="7"/>
        <v>47582.773109243695</v>
      </c>
      <c r="L13" s="87">
        <f t="shared" si="7"/>
        <v>53662.100840336134</v>
      </c>
      <c r="M13" s="87">
        <f t="shared" si="7"/>
        <v>59741.428571428572</v>
      </c>
      <c r="N13" s="87">
        <f t="shared" si="7"/>
        <v>65820.756302521011</v>
      </c>
      <c r="O13" s="87">
        <f t="shared" si="7"/>
        <v>71900.084033613442</v>
      </c>
      <c r="P13" s="95">
        <f>SUM(P6:P12)</f>
        <v>875424.78991596634</v>
      </c>
      <c r="Q13" s="87">
        <f>SUM(Q6:Q11)</f>
        <v>294046.13445378153</v>
      </c>
      <c r="R13" s="87">
        <f>SUM(R6:R11)</f>
        <v>348760.08403361344</v>
      </c>
      <c r="S13" s="87">
        <f t="shared" ref="S13:T13" si="8">SUM(S6:S11)</f>
        <v>403474.03361344535</v>
      </c>
      <c r="T13" s="87">
        <f t="shared" si="8"/>
        <v>480861.93277310923</v>
      </c>
      <c r="U13" s="111">
        <f>SUM(Q13:T13)</f>
        <v>1527142.1848739495</v>
      </c>
      <c r="V13" s="94">
        <f>SUM(V7:V11)</f>
        <v>1089883.8655462186</v>
      </c>
      <c r="W13" s="87">
        <f>SUM(W7:W11)</f>
        <v>1308739.6638655462</v>
      </c>
      <c r="X13" s="95">
        <f>SUM(X7:X11)</f>
        <v>2398623.5294117648</v>
      </c>
    </row>
    <row r="14" spans="2:24" x14ac:dyDescent="0.25">
      <c r="B14" s="102"/>
      <c r="C14" s="66"/>
      <c r="D14" s="9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92">
        <f>SUM(D14:O14)</f>
        <v>0</v>
      </c>
      <c r="Q14" s="71"/>
      <c r="R14" s="71"/>
      <c r="S14" s="71"/>
      <c r="T14" s="71"/>
      <c r="U14" s="110"/>
      <c r="V14" s="91"/>
      <c r="W14" s="71"/>
      <c r="X14" s="103"/>
    </row>
    <row r="15" spans="2:24" x14ac:dyDescent="0.25">
      <c r="B15" s="136" t="s">
        <v>7</v>
      </c>
      <c r="C15" s="67" t="s">
        <v>199</v>
      </c>
      <c r="D15" s="96">
        <f>'Entwicklung Kundenzahl'!C4*50</f>
        <v>1000</v>
      </c>
      <c r="E15" s="88">
        <f>'Entwicklung Kundenzahl'!D4*50</f>
        <v>3000</v>
      </c>
      <c r="F15" s="88">
        <f>'Entwicklung Kundenzahl'!E4*50</f>
        <v>5000</v>
      </c>
      <c r="G15" s="88">
        <f>'Entwicklung Kundenzahl'!F4*50</f>
        <v>7000</v>
      </c>
      <c r="H15" s="88">
        <f>'Entwicklung Kundenzahl'!G4*50</f>
        <v>9000</v>
      </c>
      <c r="I15" s="88">
        <f>'Entwicklung Kundenzahl'!H4*50</f>
        <v>11000</v>
      </c>
      <c r="J15" s="88">
        <f>'Entwicklung Kundenzahl'!I4*50</f>
        <v>13000</v>
      </c>
      <c r="K15" s="88">
        <f>'Entwicklung Kundenzahl'!J4*50</f>
        <v>15000</v>
      </c>
      <c r="L15" s="88">
        <f>'Entwicklung Kundenzahl'!K4*50</f>
        <v>17000</v>
      </c>
      <c r="M15" s="88">
        <f>'Entwicklung Kundenzahl'!L4*50</f>
        <v>19000</v>
      </c>
      <c r="N15" s="88">
        <f>'Entwicklung Kundenzahl'!M4*50</f>
        <v>21000</v>
      </c>
      <c r="O15" s="88">
        <f>'Entwicklung Kundenzahl'!N4*50</f>
        <v>23000</v>
      </c>
      <c r="P15" s="95">
        <f>SUM(D15:O15)</f>
        <v>144000</v>
      </c>
      <c r="Q15" s="88">
        <f>'Entwicklung Kundenzahl'!P4*50*3</f>
        <v>105000</v>
      </c>
      <c r="R15" s="88">
        <f>'Entwicklung Kundenzahl'!Q4*50*3</f>
        <v>123000</v>
      </c>
      <c r="S15" s="88">
        <f>'Entwicklung Kundenzahl'!R4*50*3</f>
        <v>141000</v>
      </c>
      <c r="T15" s="88">
        <f>'Entwicklung Kundenzahl'!S4*50*3</f>
        <v>177000</v>
      </c>
      <c r="U15" s="111">
        <f>SUM(Q15:T15)</f>
        <v>546000</v>
      </c>
      <c r="V15" s="96">
        <f>'Entwicklung Kundenzahl'!S4*50*6</f>
        <v>354000</v>
      </c>
      <c r="W15" s="88">
        <f>'Entwicklung Kundenzahl'!T4*50*6</f>
        <v>426000</v>
      </c>
      <c r="X15" s="111">
        <f>V15+W15</f>
        <v>780000</v>
      </c>
    </row>
    <row r="16" spans="2:24" x14ac:dyDescent="0.25">
      <c r="B16" s="102"/>
      <c r="C16" s="66"/>
      <c r="D16" s="9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92"/>
      <c r="Q16" s="71"/>
      <c r="R16" s="71"/>
      <c r="S16" s="71"/>
      <c r="T16" s="71"/>
      <c r="U16" s="110"/>
      <c r="V16" s="91"/>
      <c r="W16" s="71"/>
      <c r="X16" s="103"/>
    </row>
    <row r="17" spans="2:24" x14ac:dyDescent="0.25">
      <c r="B17" s="102" t="s">
        <v>8</v>
      </c>
      <c r="C17" s="66" t="s">
        <v>49</v>
      </c>
      <c r="D17" s="9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92"/>
      <c r="Q17" s="71"/>
      <c r="R17" s="71"/>
      <c r="S17" s="71"/>
      <c r="T17" s="71"/>
      <c r="U17" s="110"/>
      <c r="V17" s="91"/>
      <c r="W17" s="71"/>
      <c r="X17" s="103"/>
    </row>
    <row r="18" spans="2:24" x14ac:dyDescent="0.25">
      <c r="B18" s="102" t="s">
        <v>50</v>
      </c>
      <c r="C18" s="66" t="s">
        <v>51</v>
      </c>
      <c r="D18" s="93">
        <f>Mitarbeiterplan!$D$14/12</f>
        <v>0</v>
      </c>
      <c r="E18" s="70">
        <f>Mitarbeiterplan!$D$14/12</f>
        <v>0</v>
      </c>
      <c r="F18" s="70">
        <f>Mitarbeiterplan!$D$14/12</f>
        <v>0</v>
      </c>
      <c r="G18" s="70">
        <f>Mitarbeiterplan!$D$14/12</f>
        <v>0</v>
      </c>
      <c r="H18" s="70">
        <f>Mitarbeiterplan!$D$14/12</f>
        <v>0</v>
      </c>
      <c r="I18" s="70">
        <f>Mitarbeiterplan!$D$14/12</f>
        <v>0</v>
      </c>
      <c r="J18" s="70">
        <f>Mitarbeiterplan!$D$14/12</f>
        <v>0</v>
      </c>
      <c r="K18" s="70">
        <f>Mitarbeiterplan!$D$14/12</f>
        <v>0</v>
      </c>
      <c r="L18" s="70">
        <f>Mitarbeiterplan!$D$14/12</f>
        <v>0</v>
      </c>
      <c r="M18" s="70">
        <f>Mitarbeiterplan!$D$14/12</f>
        <v>0</v>
      </c>
      <c r="N18" s="70">
        <f>Mitarbeiterplan!$D$14/12</f>
        <v>0</v>
      </c>
      <c r="O18" s="70">
        <f>Mitarbeiterplan!$D$14/12</f>
        <v>0</v>
      </c>
      <c r="P18" s="92">
        <f t="shared" ref="P18:P40" si="9">SUM(D18:O18)</f>
        <v>0</v>
      </c>
      <c r="Q18" s="71">
        <f>Mitarbeiterplan!$E$14/4</f>
        <v>36030</v>
      </c>
      <c r="R18" s="71">
        <f>Mitarbeiterplan!$E$14/4</f>
        <v>36030</v>
      </c>
      <c r="S18" s="71">
        <f>Mitarbeiterplan!$E$14/4</f>
        <v>36030</v>
      </c>
      <c r="T18" s="71">
        <f>Mitarbeiterplan!$E$14/4</f>
        <v>36030</v>
      </c>
      <c r="U18" s="110">
        <f t="shared" ref="U18:U40" si="10">Q18+R18+S18+T18</f>
        <v>144120</v>
      </c>
      <c r="V18" s="91">
        <f>Mitarbeiterplan!$F$14/2</f>
        <v>123120</v>
      </c>
      <c r="W18" s="71">
        <f>Mitarbeiterplan!$F$14/2</f>
        <v>123120</v>
      </c>
      <c r="X18" s="110">
        <f t="shared" ref="X18:X37" si="11">V18+W18</f>
        <v>246240</v>
      </c>
    </row>
    <row r="19" spans="2:24" x14ac:dyDescent="0.25">
      <c r="B19" s="102" t="s">
        <v>52</v>
      </c>
      <c r="C19" s="66" t="s">
        <v>193</v>
      </c>
      <c r="D19" s="93">
        <f>Mitarbeiterplan!$D$19/12</f>
        <v>6000</v>
      </c>
      <c r="E19" s="70">
        <f>Mitarbeiterplan!$D$19/12</f>
        <v>6000</v>
      </c>
      <c r="F19" s="70">
        <f>Mitarbeiterplan!$D$19/12</f>
        <v>6000</v>
      </c>
      <c r="G19" s="70">
        <f>Mitarbeiterplan!$D$19/12</f>
        <v>6000</v>
      </c>
      <c r="H19" s="70">
        <f>Mitarbeiterplan!$D$19/12</f>
        <v>6000</v>
      </c>
      <c r="I19" s="70">
        <f>Mitarbeiterplan!$D$19/12</f>
        <v>6000</v>
      </c>
      <c r="J19" s="70">
        <f>Mitarbeiterplan!$D$19/12</f>
        <v>6000</v>
      </c>
      <c r="K19" s="70">
        <f>Mitarbeiterplan!$D$19/12</f>
        <v>6000</v>
      </c>
      <c r="L19" s="70">
        <f>Mitarbeiterplan!$D$19/12</f>
        <v>6000</v>
      </c>
      <c r="M19" s="70">
        <f>Mitarbeiterplan!$D$19/12</f>
        <v>6000</v>
      </c>
      <c r="N19" s="70">
        <f>Mitarbeiterplan!$D$19/12</f>
        <v>6000</v>
      </c>
      <c r="O19" s="70">
        <f>Mitarbeiterplan!$D$19/12</f>
        <v>6000</v>
      </c>
      <c r="P19" s="92">
        <f t="shared" si="9"/>
        <v>72000</v>
      </c>
      <c r="Q19" s="71">
        <f>Mitarbeiterplan!$E$19/4</f>
        <v>18000</v>
      </c>
      <c r="R19" s="71">
        <f>Mitarbeiterplan!$E$19/4</f>
        <v>18000</v>
      </c>
      <c r="S19" s="71">
        <f>Mitarbeiterplan!$E$19/4</f>
        <v>18000</v>
      </c>
      <c r="T19" s="71">
        <f>Mitarbeiterplan!$E$19/4</f>
        <v>18000</v>
      </c>
      <c r="U19" s="110">
        <f t="shared" si="10"/>
        <v>72000</v>
      </c>
      <c r="V19" s="91">
        <f>Mitarbeiterplan!$F$19/2</f>
        <v>36000</v>
      </c>
      <c r="W19" s="71">
        <f>Mitarbeiterplan!$F$19/2</f>
        <v>36000</v>
      </c>
      <c r="X19" s="110">
        <f t="shared" si="11"/>
        <v>72000</v>
      </c>
    </row>
    <row r="20" spans="2:24" x14ac:dyDescent="0.25">
      <c r="B20" s="102" t="s">
        <v>53</v>
      </c>
      <c r="C20" s="66" t="s">
        <v>207</v>
      </c>
      <c r="D20" s="93">
        <v>8800</v>
      </c>
      <c r="E20" s="70">
        <v>8800</v>
      </c>
      <c r="F20" s="70">
        <v>8800</v>
      </c>
      <c r="G20" s="70">
        <v>8800</v>
      </c>
      <c r="H20" s="70">
        <v>8800</v>
      </c>
      <c r="I20" s="70">
        <v>8800</v>
      </c>
      <c r="J20" s="70">
        <v>8800</v>
      </c>
      <c r="K20" s="70">
        <v>8800</v>
      </c>
      <c r="L20" s="70">
        <v>8800</v>
      </c>
      <c r="M20" s="70">
        <v>8800</v>
      </c>
      <c r="N20" s="70">
        <v>8800</v>
      </c>
      <c r="O20" s="70">
        <v>8800</v>
      </c>
      <c r="P20" s="92">
        <f t="shared" si="9"/>
        <v>105600</v>
      </c>
      <c r="Q20" s="71">
        <f>$O$20*3</f>
        <v>26400</v>
      </c>
      <c r="R20" s="71">
        <f t="shared" ref="R20:T20" si="12">$O$20*3</f>
        <v>26400</v>
      </c>
      <c r="S20" s="71">
        <f t="shared" si="12"/>
        <v>26400</v>
      </c>
      <c r="T20" s="71">
        <f t="shared" si="12"/>
        <v>26400</v>
      </c>
      <c r="U20" s="110">
        <f t="shared" si="10"/>
        <v>105600</v>
      </c>
      <c r="V20" s="91">
        <f>$T$20*2</f>
        <v>52800</v>
      </c>
      <c r="W20" s="71">
        <f>$T$20*2</f>
        <v>52800</v>
      </c>
      <c r="X20" s="110">
        <f t="shared" si="11"/>
        <v>105600</v>
      </c>
    </row>
    <row r="21" spans="2:24" x14ac:dyDescent="0.25">
      <c r="B21" s="102" t="s">
        <v>54</v>
      </c>
      <c r="C21" s="66" t="s">
        <v>55</v>
      </c>
      <c r="D21" s="93">
        <v>26160</v>
      </c>
      <c r="E21" s="70">
        <v>26160</v>
      </c>
      <c r="F21" s="70">
        <v>26160</v>
      </c>
      <c r="G21" s="70">
        <v>5000</v>
      </c>
      <c r="H21" s="70">
        <v>5000</v>
      </c>
      <c r="I21" s="70">
        <v>5000</v>
      </c>
      <c r="J21" s="70">
        <v>5000</v>
      </c>
      <c r="K21" s="70">
        <v>5000</v>
      </c>
      <c r="L21" s="70">
        <v>5000</v>
      </c>
      <c r="M21" s="70">
        <v>5000</v>
      </c>
      <c r="N21" s="70">
        <v>5000</v>
      </c>
      <c r="O21" s="70">
        <v>5000</v>
      </c>
      <c r="P21" s="92">
        <f t="shared" si="9"/>
        <v>123480</v>
      </c>
      <c r="Q21" s="71">
        <f>$O$21*3</f>
        <v>15000</v>
      </c>
      <c r="R21" s="71">
        <f t="shared" ref="R21:T21" si="13">$O$21*3</f>
        <v>15000</v>
      </c>
      <c r="S21" s="71">
        <f t="shared" si="13"/>
        <v>15000</v>
      </c>
      <c r="T21" s="71">
        <f t="shared" si="13"/>
        <v>15000</v>
      </c>
      <c r="U21" s="110">
        <f t="shared" si="10"/>
        <v>60000</v>
      </c>
      <c r="V21" s="91">
        <f>$T$21*2</f>
        <v>30000</v>
      </c>
      <c r="W21" s="71">
        <f>$T$21*2</f>
        <v>30000</v>
      </c>
      <c r="X21" s="110">
        <f t="shared" si="11"/>
        <v>60000</v>
      </c>
    </row>
    <row r="22" spans="2:24" x14ac:dyDescent="0.25">
      <c r="B22" s="102" t="s">
        <v>56</v>
      </c>
      <c r="C22" s="66" t="s">
        <v>11</v>
      </c>
      <c r="D22" s="93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92">
        <f t="shared" si="9"/>
        <v>0</v>
      </c>
      <c r="Q22" s="71">
        <v>0</v>
      </c>
      <c r="R22" s="71">
        <v>0</v>
      </c>
      <c r="S22" s="71">
        <v>0</v>
      </c>
      <c r="T22" s="71">
        <v>0</v>
      </c>
      <c r="U22" s="110">
        <f t="shared" si="10"/>
        <v>0</v>
      </c>
      <c r="V22" s="91">
        <v>0</v>
      </c>
      <c r="W22" s="71">
        <v>0</v>
      </c>
      <c r="X22" s="110">
        <f t="shared" si="11"/>
        <v>0</v>
      </c>
    </row>
    <row r="23" spans="2:24" x14ac:dyDescent="0.25">
      <c r="B23" s="102" t="s">
        <v>57</v>
      </c>
      <c r="C23" s="66" t="s">
        <v>12</v>
      </c>
      <c r="D23" s="93">
        <v>50</v>
      </c>
      <c r="E23" s="70">
        <v>50</v>
      </c>
      <c r="F23" s="70">
        <v>50</v>
      </c>
      <c r="G23" s="70">
        <v>50</v>
      </c>
      <c r="H23" s="70">
        <v>50</v>
      </c>
      <c r="I23" s="70">
        <v>50</v>
      </c>
      <c r="J23" s="70">
        <v>50</v>
      </c>
      <c r="K23" s="70">
        <v>50</v>
      </c>
      <c r="L23" s="70">
        <v>50</v>
      </c>
      <c r="M23" s="70">
        <v>50</v>
      </c>
      <c r="N23" s="70">
        <v>50</v>
      </c>
      <c r="O23" s="70">
        <v>50</v>
      </c>
      <c r="P23" s="92">
        <f t="shared" si="9"/>
        <v>600</v>
      </c>
      <c r="Q23" s="71">
        <f>$O$23*3</f>
        <v>150</v>
      </c>
      <c r="R23" s="71">
        <f t="shared" ref="R23:T23" si="14">$O$23*3</f>
        <v>150</v>
      </c>
      <c r="S23" s="71">
        <f t="shared" si="14"/>
        <v>150</v>
      </c>
      <c r="T23" s="71">
        <f t="shared" si="14"/>
        <v>150</v>
      </c>
      <c r="U23" s="110">
        <f t="shared" si="10"/>
        <v>600</v>
      </c>
      <c r="V23" s="91">
        <f>$T$23*2</f>
        <v>300</v>
      </c>
      <c r="W23" s="71">
        <f>$T$23*2</f>
        <v>300</v>
      </c>
      <c r="X23" s="110">
        <f t="shared" si="11"/>
        <v>600</v>
      </c>
    </row>
    <row r="24" spans="2:24" x14ac:dyDescent="0.25">
      <c r="B24" s="102" t="s">
        <v>58</v>
      </c>
      <c r="C24" s="66" t="s">
        <v>13</v>
      </c>
      <c r="D24" s="93">
        <v>100</v>
      </c>
      <c r="E24" s="70">
        <v>100</v>
      </c>
      <c r="F24" s="70">
        <v>100</v>
      </c>
      <c r="G24" s="70">
        <v>100</v>
      </c>
      <c r="H24" s="70">
        <v>100</v>
      </c>
      <c r="I24" s="70">
        <v>100</v>
      </c>
      <c r="J24" s="70">
        <v>100</v>
      </c>
      <c r="K24" s="70">
        <v>100</v>
      </c>
      <c r="L24" s="70">
        <v>100</v>
      </c>
      <c r="M24" s="70">
        <v>100</v>
      </c>
      <c r="N24" s="70">
        <v>100</v>
      </c>
      <c r="O24" s="70">
        <v>100</v>
      </c>
      <c r="P24" s="92">
        <f t="shared" si="9"/>
        <v>1200</v>
      </c>
      <c r="Q24" s="71">
        <f>$O$24*3</f>
        <v>300</v>
      </c>
      <c r="R24" s="71">
        <f t="shared" ref="R24:T24" si="15">$O$24*3</f>
        <v>300</v>
      </c>
      <c r="S24" s="71">
        <f t="shared" si="15"/>
        <v>300</v>
      </c>
      <c r="T24" s="71">
        <f t="shared" si="15"/>
        <v>300</v>
      </c>
      <c r="U24" s="110">
        <f t="shared" si="10"/>
        <v>1200</v>
      </c>
      <c r="V24" s="91">
        <f>$T$24*2</f>
        <v>600</v>
      </c>
      <c r="W24" s="71">
        <f>$T$24*2</f>
        <v>600</v>
      </c>
      <c r="X24" s="110">
        <f t="shared" si="11"/>
        <v>1200</v>
      </c>
    </row>
    <row r="25" spans="2:24" x14ac:dyDescent="0.25">
      <c r="B25" s="102" t="s">
        <v>59</v>
      </c>
      <c r="C25" s="66" t="s">
        <v>14</v>
      </c>
      <c r="D25" s="93">
        <v>150</v>
      </c>
      <c r="E25" s="70">
        <v>150</v>
      </c>
      <c r="F25" s="70">
        <v>150</v>
      </c>
      <c r="G25" s="70">
        <v>150</v>
      </c>
      <c r="H25" s="70">
        <v>150</v>
      </c>
      <c r="I25" s="70">
        <v>150</v>
      </c>
      <c r="J25" s="70">
        <v>150</v>
      </c>
      <c r="K25" s="70">
        <v>150</v>
      </c>
      <c r="L25" s="70">
        <v>150</v>
      </c>
      <c r="M25" s="70">
        <v>150</v>
      </c>
      <c r="N25" s="70">
        <v>150</v>
      </c>
      <c r="O25" s="70">
        <v>150</v>
      </c>
      <c r="P25" s="92">
        <f t="shared" si="9"/>
        <v>1800</v>
      </c>
      <c r="Q25" s="71">
        <f>$O$25*3</f>
        <v>450</v>
      </c>
      <c r="R25" s="71">
        <f t="shared" ref="R25:T25" si="16">$O$25*3</f>
        <v>450</v>
      </c>
      <c r="S25" s="71">
        <f t="shared" si="16"/>
        <v>450</v>
      </c>
      <c r="T25" s="71">
        <f t="shared" si="16"/>
        <v>450</v>
      </c>
      <c r="U25" s="110">
        <f t="shared" si="10"/>
        <v>1800</v>
      </c>
      <c r="V25" s="91">
        <f>$T$25*2</f>
        <v>900</v>
      </c>
      <c r="W25" s="71">
        <f>$T$25*2</f>
        <v>900</v>
      </c>
      <c r="X25" s="110">
        <f t="shared" si="11"/>
        <v>1800</v>
      </c>
    </row>
    <row r="26" spans="2:24" x14ac:dyDescent="0.25">
      <c r="B26" s="102" t="s">
        <v>60</v>
      </c>
      <c r="C26" s="66" t="s">
        <v>15</v>
      </c>
      <c r="D26" s="93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92">
        <f t="shared" si="9"/>
        <v>0</v>
      </c>
      <c r="Q26" s="71">
        <v>0</v>
      </c>
      <c r="R26" s="71">
        <v>0</v>
      </c>
      <c r="S26" s="71">
        <v>0</v>
      </c>
      <c r="T26" s="71">
        <v>0</v>
      </c>
      <c r="U26" s="110">
        <f t="shared" si="10"/>
        <v>0</v>
      </c>
      <c r="V26" s="91">
        <v>0</v>
      </c>
      <c r="W26" s="71">
        <v>0</v>
      </c>
      <c r="X26" s="110">
        <f t="shared" si="11"/>
        <v>0</v>
      </c>
    </row>
    <row r="27" spans="2:24" x14ac:dyDescent="0.25">
      <c r="B27" s="102" t="s">
        <v>61</v>
      </c>
      <c r="C27" s="66" t="s">
        <v>16</v>
      </c>
      <c r="D27" s="93">
        <v>200</v>
      </c>
      <c r="E27" s="70">
        <v>200</v>
      </c>
      <c r="F27" s="70">
        <v>200</v>
      </c>
      <c r="G27" s="70">
        <v>200</v>
      </c>
      <c r="H27" s="70">
        <v>200</v>
      </c>
      <c r="I27" s="70">
        <v>200</v>
      </c>
      <c r="J27" s="70">
        <v>200</v>
      </c>
      <c r="K27" s="70">
        <v>200</v>
      </c>
      <c r="L27" s="70">
        <v>200</v>
      </c>
      <c r="M27" s="70">
        <v>200</v>
      </c>
      <c r="N27" s="70">
        <v>200</v>
      </c>
      <c r="O27" s="70">
        <v>200</v>
      </c>
      <c r="P27" s="92">
        <f t="shared" si="9"/>
        <v>2400</v>
      </c>
      <c r="Q27" s="71">
        <f>$O$27*3</f>
        <v>600</v>
      </c>
      <c r="R27" s="71">
        <f t="shared" ref="R27:T27" si="17">$O$27*3</f>
        <v>600</v>
      </c>
      <c r="S27" s="71">
        <f t="shared" si="17"/>
        <v>600</v>
      </c>
      <c r="T27" s="71">
        <f t="shared" si="17"/>
        <v>600</v>
      </c>
      <c r="U27" s="110">
        <f t="shared" si="10"/>
        <v>2400</v>
      </c>
      <c r="V27" s="91">
        <f>$T$27*2</f>
        <v>1200</v>
      </c>
      <c r="W27" s="71">
        <f>$T$27*2</f>
        <v>1200</v>
      </c>
      <c r="X27" s="110">
        <f t="shared" si="11"/>
        <v>2400</v>
      </c>
    </row>
    <row r="28" spans="2:24" x14ac:dyDescent="0.25">
      <c r="B28" s="102" t="s">
        <v>62</v>
      </c>
      <c r="C28" s="66" t="s">
        <v>228</v>
      </c>
      <c r="D28" s="93">
        <v>420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92">
        <f t="shared" si="9"/>
        <v>420</v>
      </c>
      <c r="Q28" s="71">
        <v>420</v>
      </c>
      <c r="R28" s="71">
        <v>0</v>
      </c>
      <c r="S28" s="71">
        <v>0</v>
      </c>
      <c r="T28" s="71">
        <v>0</v>
      </c>
      <c r="U28" s="110">
        <f t="shared" si="10"/>
        <v>420</v>
      </c>
      <c r="V28" s="91">
        <v>420</v>
      </c>
      <c r="W28" s="71">
        <v>0</v>
      </c>
      <c r="X28" s="110">
        <f t="shared" si="11"/>
        <v>420</v>
      </c>
    </row>
    <row r="29" spans="2:24" x14ac:dyDescent="0.25">
      <c r="B29" s="102" t="s">
        <v>63</v>
      </c>
      <c r="C29" s="66" t="s">
        <v>17</v>
      </c>
      <c r="D29" s="93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  <c r="P29" s="92">
        <f t="shared" si="9"/>
        <v>0</v>
      </c>
      <c r="Q29" s="71">
        <v>0</v>
      </c>
      <c r="R29" s="71">
        <v>0</v>
      </c>
      <c r="S29" s="71">
        <v>0</v>
      </c>
      <c r="T29" s="71">
        <v>0</v>
      </c>
      <c r="U29" s="110">
        <f t="shared" si="10"/>
        <v>0</v>
      </c>
      <c r="V29" s="91">
        <v>0</v>
      </c>
      <c r="W29" s="71">
        <v>0</v>
      </c>
      <c r="X29" s="110">
        <f t="shared" si="11"/>
        <v>0</v>
      </c>
    </row>
    <row r="30" spans="2:24" x14ac:dyDescent="0.25">
      <c r="B30" s="102" t="s">
        <v>64</v>
      </c>
      <c r="C30" s="66" t="s">
        <v>18</v>
      </c>
      <c r="D30" s="93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92">
        <f t="shared" si="9"/>
        <v>0</v>
      </c>
      <c r="Q30" s="71">
        <f>$O$30*3</f>
        <v>0</v>
      </c>
      <c r="R30" s="71">
        <f t="shared" ref="R30:T30" si="18">$O$30*3</f>
        <v>0</v>
      </c>
      <c r="S30" s="71">
        <f t="shared" si="18"/>
        <v>0</v>
      </c>
      <c r="T30" s="71">
        <f t="shared" si="18"/>
        <v>0</v>
      </c>
      <c r="U30" s="110">
        <f t="shared" si="10"/>
        <v>0</v>
      </c>
      <c r="V30" s="91">
        <f>$T$30*2</f>
        <v>0</v>
      </c>
      <c r="W30" s="71">
        <f>$T$30*2</f>
        <v>0</v>
      </c>
      <c r="X30" s="110">
        <f t="shared" si="11"/>
        <v>0</v>
      </c>
    </row>
    <row r="31" spans="2:24" x14ac:dyDescent="0.25">
      <c r="B31" s="102" t="s">
        <v>65</v>
      </c>
      <c r="C31" s="66" t="s">
        <v>19</v>
      </c>
      <c r="D31" s="93">
        <v>150</v>
      </c>
      <c r="E31" s="70">
        <v>150</v>
      </c>
      <c r="F31" s="70">
        <v>150</v>
      </c>
      <c r="G31" s="70">
        <v>150</v>
      </c>
      <c r="H31" s="70">
        <v>150</v>
      </c>
      <c r="I31" s="70">
        <v>150</v>
      </c>
      <c r="J31" s="70">
        <v>150</v>
      </c>
      <c r="K31" s="70">
        <v>150</v>
      </c>
      <c r="L31" s="70">
        <v>150</v>
      </c>
      <c r="M31" s="70">
        <v>150</v>
      </c>
      <c r="N31" s="70">
        <v>150</v>
      </c>
      <c r="O31" s="70">
        <v>150</v>
      </c>
      <c r="P31" s="92">
        <f t="shared" si="9"/>
        <v>1800</v>
      </c>
      <c r="Q31" s="71">
        <f>$O$31*3</f>
        <v>450</v>
      </c>
      <c r="R31" s="71">
        <f t="shared" ref="R31:T31" si="19">$O$31*3</f>
        <v>450</v>
      </c>
      <c r="S31" s="71">
        <f t="shared" si="19"/>
        <v>450</v>
      </c>
      <c r="T31" s="71">
        <f t="shared" si="19"/>
        <v>450</v>
      </c>
      <c r="U31" s="110">
        <f t="shared" si="10"/>
        <v>1800</v>
      </c>
      <c r="V31" s="91">
        <f>$T$31*2</f>
        <v>900</v>
      </c>
      <c r="W31" s="71">
        <f>$T$31*2</f>
        <v>900</v>
      </c>
      <c r="X31" s="110">
        <f t="shared" si="11"/>
        <v>1800</v>
      </c>
    </row>
    <row r="32" spans="2:24" x14ac:dyDescent="0.25">
      <c r="B32" s="102" t="s">
        <v>66</v>
      </c>
      <c r="C32" s="66" t="s">
        <v>20</v>
      </c>
      <c r="D32" s="93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92">
        <f t="shared" si="9"/>
        <v>0</v>
      </c>
      <c r="Q32" s="71">
        <v>0</v>
      </c>
      <c r="R32" s="71">
        <v>0</v>
      </c>
      <c r="S32" s="71">
        <v>0</v>
      </c>
      <c r="T32" s="71">
        <v>0</v>
      </c>
      <c r="U32" s="110">
        <f t="shared" si="10"/>
        <v>0</v>
      </c>
      <c r="V32" s="91">
        <v>0</v>
      </c>
      <c r="W32" s="71">
        <v>0</v>
      </c>
      <c r="X32" s="110">
        <f t="shared" si="11"/>
        <v>0</v>
      </c>
    </row>
    <row r="33" spans="2:24" x14ac:dyDescent="0.25">
      <c r="B33" s="102" t="s">
        <v>67</v>
      </c>
      <c r="C33" s="66" t="s">
        <v>21</v>
      </c>
      <c r="D33" s="93">
        <f>$D$11*0.03/12</f>
        <v>500</v>
      </c>
      <c r="E33" s="70">
        <f t="shared" ref="E33:O33" si="20">$D$11*0.03/12</f>
        <v>500</v>
      </c>
      <c r="F33" s="70">
        <f t="shared" si="20"/>
        <v>500</v>
      </c>
      <c r="G33" s="70">
        <f t="shared" si="20"/>
        <v>500</v>
      </c>
      <c r="H33" s="70">
        <f t="shared" si="20"/>
        <v>500</v>
      </c>
      <c r="I33" s="70">
        <f t="shared" si="20"/>
        <v>500</v>
      </c>
      <c r="J33" s="70">
        <f t="shared" si="20"/>
        <v>500</v>
      </c>
      <c r="K33" s="70">
        <f t="shared" si="20"/>
        <v>500</v>
      </c>
      <c r="L33" s="70">
        <f t="shared" si="20"/>
        <v>500</v>
      </c>
      <c r="M33" s="70">
        <f t="shared" si="20"/>
        <v>500</v>
      </c>
      <c r="N33" s="70">
        <f t="shared" si="20"/>
        <v>500</v>
      </c>
      <c r="O33" s="70">
        <f t="shared" si="20"/>
        <v>500</v>
      </c>
      <c r="P33" s="92">
        <f t="shared" si="9"/>
        <v>6000</v>
      </c>
      <c r="Q33" s="71">
        <f>$O$33*3</f>
        <v>1500</v>
      </c>
      <c r="R33" s="71">
        <f t="shared" ref="R33:T33" si="21">$O$33*3</f>
        <v>1500</v>
      </c>
      <c r="S33" s="71">
        <f t="shared" si="21"/>
        <v>1500</v>
      </c>
      <c r="T33" s="71">
        <f t="shared" si="21"/>
        <v>1500</v>
      </c>
      <c r="U33" s="110">
        <f t="shared" si="10"/>
        <v>6000</v>
      </c>
      <c r="V33" s="91">
        <f>$T$33*2</f>
        <v>3000</v>
      </c>
      <c r="W33" s="71">
        <f>$T$33*2</f>
        <v>3000</v>
      </c>
      <c r="X33" s="110">
        <f t="shared" si="11"/>
        <v>6000</v>
      </c>
    </row>
    <row r="34" spans="2:24" x14ac:dyDescent="0.25">
      <c r="B34" s="102" t="s">
        <v>68</v>
      </c>
      <c r="C34" s="66" t="s">
        <v>22</v>
      </c>
      <c r="D34" s="93">
        <f>Kapitalbedarfsplan!D51</f>
        <v>2500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  <c r="P34" s="92">
        <f t="shared" si="9"/>
        <v>2500</v>
      </c>
      <c r="Q34" s="71">
        <v>0</v>
      </c>
      <c r="R34" s="71">
        <v>0</v>
      </c>
      <c r="S34" s="71">
        <v>0</v>
      </c>
      <c r="T34" s="71">
        <v>0</v>
      </c>
      <c r="U34" s="110">
        <f t="shared" si="10"/>
        <v>0</v>
      </c>
      <c r="V34" s="91">
        <v>0</v>
      </c>
      <c r="W34" s="71">
        <v>0</v>
      </c>
      <c r="X34" s="110">
        <f t="shared" si="11"/>
        <v>0</v>
      </c>
    </row>
    <row r="35" spans="2:24" x14ac:dyDescent="0.25">
      <c r="B35" s="102" t="s">
        <v>69</v>
      </c>
      <c r="C35" s="66" t="s">
        <v>261</v>
      </c>
      <c r="D35" s="93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92">
        <f t="shared" si="9"/>
        <v>0</v>
      </c>
      <c r="Q35" s="71">
        <v>0</v>
      </c>
      <c r="R35" s="71">
        <v>0</v>
      </c>
      <c r="S35" s="71">
        <v>0</v>
      </c>
      <c r="T35" s="71">
        <v>0</v>
      </c>
      <c r="U35" s="110">
        <f t="shared" si="10"/>
        <v>0</v>
      </c>
      <c r="V35" s="91">
        <f>'Gewinn- und Verlustrechnung'!E27</f>
        <v>95634.787325630197</v>
      </c>
      <c r="W35" s="71">
        <v>0</v>
      </c>
      <c r="X35" s="110">
        <f t="shared" si="11"/>
        <v>95634.787325630197</v>
      </c>
    </row>
    <row r="36" spans="2:24" x14ac:dyDescent="0.25">
      <c r="B36" s="102" t="s">
        <v>70</v>
      </c>
      <c r="C36" s="66" t="s">
        <v>71</v>
      </c>
      <c r="D36" s="93">
        <f>($D$11*0.02)/12</f>
        <v>333.33333333333331</v>
      </c>
      <c r="E36" s="70">
        <f t="shared" ref="E36:O36" si="22">($D$11*0.02)/12</f>
        <v>333.33333333333331</v>
      </c>
      <c r="F36" s="70">
        <f t="shared" si="22"/>
        <v>333.33333333333331</v>
      </c>
      <c r="G36" s="70">
        <f t="shared" si="22"/>
        <v>333.33333333333331</v>
      </c>
      <c r="H36" s="70">
        <f t="shared" si="22"/>
        <v>333.33333333333331</v>
      </c>
      <c r="I36" s="70">
        <f t="shared" si="22"/>
        <v>333.33333333333331</v>
      </c>
      <c r="J36" s="70">
        <f t="shared" si="22"/>
        <v>333.33333333333331</v>
      </c>
      <c r="K36" s="70">
        <f t="shared" si="22"/>
        <v>333.33333333333331</v>
      </c>
      <c r="L36" s="70">
        <f t="shared" si="22"/>
        <v>333.33333333333331</v>
      </c>
      <c r="M36" s="70">
        <f t="shared" si="22"/>
        <v>333.33333333333331</v>
      </c>
      <c r="N36" s="70">
        <f t="shared" si="22"/>
        <v>333.33333333333331</v>
      </c>
      <c r="O36" s="70">
        <f t="shared" si="22"/>
        <v>333.33333333333331</v>
      </c>
      <c r="P36" s="92">
        <f t="shared" si="9"/>
        <v>4000.0000000000005</v>
      </c>
      <c r="Q36" s="71">
        <f>$O$36*3</f>
        <v>1000</v>
      </c>
      <c r="R36" s="71">
        <f t="shared" ref="R36:T36" si="23">$O$36*3</f>
        <v>1000</v>
      </c>
      <c r="S36" s="71">
        <f t="shared" si="23"/>
        <v>1000</v>
      </c>
      <c r="T36" s="71">
        <f t="shared" si="23"/>
        <v>1000</v>
      </c>
      <c r="U36" s="110">
        <f t="shared" si="10"/>
        <v>4000</v>
      </c>
      <c r="V36" s="91">
        <f>$T$36*2</f>
        <v>2000</v>
      </c>
      <c r="W36" s="71">
        <f>$T$36*2</f>
        <v>2000</v>
      </c>
      <c r="X36" s="110">
        <f t="shared" si="11"/>
        <v>4000</v>
      </c>
    </row>
    <row r="37" spans="2:24" x14ac:dyDescent="0.25">
      <c r="B37" s="102" t="s">
        <v>72</v>
      </c>
      <c r="C37" s="66" t="s">
        <v>79</v>
      </c>
      <c r="D37" s="93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92">
        <f t="shared" si="9"/>
        <v>0</v>
      </c>
      <c r="Q37" s="71">
        <v>0</v>
      </c>
      <c r="R37" s="71">
        <v>0</v>
      </c>
      <c r="S37" s="71">
        <v>0</v>
      </c>
      <c r="T37" s="71">
        <v>0</v>
      </c>
      <c r="U37" s="110">
        <f t="shared" si="10"/>
        <v>0</v>
      </c>
      <c r="V37" s="91">
        <v>0</v>
      </c>
      <c r="W37" s="71">
        <v>0</v>
      </c>
      <c r="X37" s="110">
        <f t="shared" si="11"/>
        <v>0</v>
      </c>
    </row>
    <row r="38" spans="2:24" x14ac:dyDescent="0.25">
      <c r="B38" s="102" t="s">
        <v>208</v>
      </c>
      <c r="C38" s="66" t="s">
        <v>74</v>
      </c>
      <c r="D38" s="93">
        <f>Kapitalbedarfsplan!D12+Kapitalbedarfsplan!D18</f>
        <v>284800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92">
        <f t="shared" si="9"/>
        <v>284800</v>
      </c>
      <c r="Q38" s="71">
        <v>0</v>
      </c>
      <c r="R38" s="71">
        <v>0</v>
      </c>
      <c r="S38" s="71">
        <v>0</v>
      </c>
      <c r="T38" s="71">
        <v>0</v>
      </c>
      <c r="U38" s="110">
        <f t="shared" si="10"/>
        <v>0</v>
      </c>
      <c r="V38" s="91">
        <v>0</v>
      </c>
      <c r="W38" s="71">
        <v>0</v>
      </c>
      <c r="X38" s="110">
        <f>V38+W38</f>
        <v>0</v>
      </c>
    </row>
    <row r="39" spans="2:24" x14ac:dyDescent="0.25">
      <c r="B39" s="102" t="s">
        <v>73</v>
      </c>
      <c r="C39" s="103" t="s">
        <v>230</v>
      </c>
      <c r="D39" s="93">
        <v>0</v>
      </c>
      <c r="E39" s="70">
        <f t="shared" ref="E39:N39" si="24">(D7+D8)*19/119</f>
        <v>459.83193277310926</v>
      </c>
      <c r="F39" s="70">
        <f t="shared" si="24"/>
        <v>1379.4957983193278</v>
      </c>
      <c r="G39" s="70">
        <f t="shared" si="24"/>
        <v>2299.159663865546</v>
      </c>
      <c r="H39" s="70">
        <f t="shared" si="24"/>
        <v>3218.8235294117649</v>
      </c>
      <c r="I39" s="70">
        <f t="shared" si="24"/>
        <v>4138.4873949579833</v>
      </c>
      <c r="J39" s="70">
        <f t="shared" si="24"/>
        <v>5058.1512605042017</v>
      </c>
      <c r="K39" s="70">
        <f t="shared" si="24"/>
        <v>5977.8151260504201</v>
      </c>
      <c r="L39" s="70">
        <f t="shared" si="24"/>
        <v>6897.4789915966385</v>
      </c>
      <c r="M39" s="70">
        <f t="shared" si="24"/>
        <v>7817.1428571428569</v>
      </c>
      <c r="N39" s="70">
        <f t="shared" si="24"/>
        <v>8736.8067226890762</v>
      </c>
      <c r="O39" s="70">
        <f>(N7+N8)*19/119</f>
        <v>9656.4705882352937</v>
      </c>
      <c r="P39" s="92">
        <f t="shared" si="9"/>
        <v>55639.663865546223</v>
      </c>
      <c r="Q39" s="70">
        <f>(Q7+Q8)*19/119</f>
        <v>43166.722689075628</v>
      </c>
      <c r="R39" s="70">
        <f t="shared" ref="R39:T39" si="25">(R7+R8)*19/119</f>
        <v>51443.697478991598</v>
      </c>
      <c r="S39" s="70">
        <f t="shared" si="25"/>
        <v>59720.672268907561</v>
      </c>
      <c r="T39" s="70">
        <f t="shared" si="25"/>
        <v>71158.991596638662</v>
      </c>
      <c r="U39" s="110">
        <f t="shared" si="10"/>
        <v>225490.08403361344</v>
      </c>
      <c r="V39" s="91">
        <f>((V7+V8)*19/119)</f>
        <v>162780.50420168068</v>
      </c>
      <c r="W39" s="71">
        <f>((W7+W8)*19/119)</f>
        <v>195888.40336134454</v>
      </c>
      <c r="X39" s="110">
        <f>V39+W39</f>
        <v>358668.90756302525</v>
      </c>
    </row>
    <row r="40" spans="2:24" x14ac:dyDescent="0.25">
      <c r="B40" s="102" t="s">
        <v>232</v>
      </c>
      <c r="C40" s="103" t="s">
        <v>231</v>
      </c>
      <c r="D40" s="93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92">
        <f t="shared" si="9"/>
        <v>0</v>
      </c>
      <c r="Q40" s="71">
        <f>((Liquiditätsplan!O7+Liquiditätsplan!O8)*19/119)-((Liquiditätsplan!O15+Liquiditätsplan!O20+Liquiditätsplan!O21+Liquiditätsplan!O22+Liquiditätsplan!O23+Liquiditätsplan!O24+Liquiditätsplan!O25+Liquiditätsplan!O26+Liquiditätsplan!O27+Liquiditätsplan!O30+Liquiditätsplan!O31+Liquiditätsplan!O32+Liquiditätsplan!O34+Liquiditätsplan!O38)*19/119)</f>
        <v>4596.722689075631</v>
      </c>
      <c r="R40" s="71">
        <v>0</v>
      </c>
      <c r="S40" s="71">
        <v>0</v>
      </c>
      <c r="T40" s="71">
        <v>0</v>
      </c>
      <c r="U40" s="110">
        <f t="shared" si="10"/>
        <v>4596.722689075631</v>
      </c>
      <c r="V40" s="71">
        <v>0</v>
      </c>
      <c r="W40" s="71">
        <v>0</v>
      </c>
      <c r="X40" s="110">
        <v>0</v>
      </c>
    </row>
    <row r="41" spans="2:24" ht="13.8" thickBot="1" x14ac:dyDescent="0.3">
      <c r="B41" s="102"/>
      <c r="C41" s="66"/>
      <c r="D41" s="145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7"/>
      <c r="Q41" s="71"/>
      <c r="R41" s="71"/>
      <c r="S41" s="71"/>
      <c r="T41" s="71"/>
      <c r="U41" s="92"/>
      <c r="V41" s="91"/>
      <c r="W41" s="71"/>
      <c r="X41" s="103"/>
    </row>
    <row r="42" spans="2:24" x14ac:dyDescent="0.25">
      <c r="B42" s="136"/>
      <c r="C42" s="67" t="s">
        <v>75</v>
      </c>
      <c r="D42" s="143">
        <f>SUM(D15:D40)</f>
        <v>331163.33333333331</v>
      </c>
      <c r="E42" s="144">
        <f>SUM(E15:E40)</f>
        <v>45903.165266106444</v>
      </c>
      <c r="F42" s="144">
        <f t="shared" ref="F42:O42" si="26">SUM(F15:F40)</f>
        <v>48822.829131652667</v>
      </c>
      <c r="G42" s="144">
        <f t="shared" si="26"/>
        <v>30582.492997198879</v>
      </c>
      <c r="H42" s="144">
        <f t="shared" si="26"/>
        <v>33502.156862745098</v>
      </c>
      <c r="I42" s="144">
        <f t="shared" si="26"/>
        <v>36421.820728291314</v>
      </c>
      <c r="J42" s="144">
        <f t="shared" si="26"/>
        <v>39341.484593837537</v>
      </c>
      <c r="K42" s="144">
        <f t="shared" si="26"/>
        <v>42261.148459383752</v>
      </c>
      <c r="L42" s="144">
        <f t="shared" si="26"/>
        <v>45180.812324929975</v>
      </c>
      <c r="M42" s="144">
        <f t="shared" si="26"/>
        <v>48100.476190476191</v>
      </c>
      <c r="N42" s="144">
        <f t="shared" si="26"/>
        <v>51020.140056022414</v>
      </c>
      <c r="O42" s="144">
        <f t="shared" si="26"/>
        <v>53939.803921568629</v>
      </c>
      <c r="P42" s="144">
        <f>SUM(D42:O42)</f>
        <v>806239.66386554635</v>
      </c>
      <c r="Q42" s="94">
        <f>SUM(Q15:Q41)</f>
        <v>253063.44537815126</v>
      </c>
      <c r="R42" s="87">
        <f>SUM(R15:R41)</f>
        <v>274323.69747899158</v>
      </c>
      <c r="S42" s="87">
        <f t="shared" ref="S42" si="27">SUM(S15:S41)</f>
        <v>300600.67226890754</v>
      </c>
      <c r="T42" s="87">
        <f>SUM(T15:T41)</f>
        <v>348038.99159663869</v>
      </c>
      <c r="U42" s="95">
        <f>SUM(Q42:T42)</f>
        <v>1176026.806722689</v>
      </c>
      <c r="V42" s="94">
        <f>SUM(V15:V41)</f>
        <v>863655.29152731085</v>
      </c>
      <c r="W42" s="87">
        <f>SUM(W15:W41)</f>
        <v>872708.40336134448</v>
      </c>
      <c r="X42" s="95">
        <f>SUM(X15:X41)</f>
        <v>1736363.6948886556</v>
      </c>
    </row>
    <row r="43" spans="2:24" x14ac:dyDescent="0.25">
      <c r="B43" s="102"/>
      <c r="C43" s="66"/>
      <c r="D43" s="9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91"/>
      <c r="R43" s="71"/>
      <c r="S43" s="71"/>
      <c r="T43" s="71"/>
      <c r="U43" s="92"/>
      <c r="V43" s="91"/>
      <c r="W43" s="71"/>
      <c r="X43" s="103"/>
    </row>
    <row r="44" spans="2:24" x14ac:dyDescent="0.25">
      <c r="B44" s="136" t="s">
        <v>9</v>
      </c>
      <c r="C44" s="67" t="s">
        <v>76</v>
      </c>
      <c r="D44" s="94">
        <f>D13-D42</f>
        <v>31716.666666666686</v>
      </c>
      <c r="E44" s="87">
        <f>E13-E42</f>
        <v>14453.557422969185</v>
      </c>
      <c r="F44" s="87">
        <f t="shared" ref="F44:N44" si="28">F13-F42</f>
        <v>-28258.207282913172</v>
      </c>
      <c r="G44" s="87">
        <f t="shared" si="28"/>
        <v>-3938.5434173669455</v>
      </c>
      <c r="H44" s="87">
        <f t="shared" si="28"/>
        <v>-4157.3669467787113</v>
      </c>
      <c r="I44" s="87">
        <f t="shared" si="28"/>
        <v>-997.70308123248833</v>
      </c>
      <c r="J44" s="87">
        <f t="shared" si="28"/>
        <v>2161.9607843137273</v>
      </c>
      <c r="K44" s="87">
        <f t="shared" si="28"/>
        <v>5321.624649859943</v>
      </c>
      <c r="L44" s="87">
        <f t="shared" si="28"/>
        <v>8481.2885154061587</v>
      </c>
      <c r="M44" s="87">
        <f t="shared" si="28"/>
        <v>11640.952380952382</v>
      </c>
      <c r="N44" s="87">
        <f t="shared" si="28"/>
        <v>14800.616246498597</v>
      </c>
      <c r="O44" s="87">
        <f t="shared" ref="O44:X44" si="29">O13-O42</f>
        <v>17960.280112044813</v>
      </c>
      <c r="P44" s="87">
        <f t="shared" si="29"/>
        <v>69185.126050419989</v>
      </c>
      <c r="Q44" s="94">
        <f t="shared" si="29"/>
        <v>40982.689075630275</v>
      </c>
      <c r="R44" s="87">
        <f t="shared" si="29"/>
        <v>74436.386554621859</v>
      </c>
      <c r="S44" s="87">
        <f t="shared" si="29"/>
        <v>102873.36134453781</v>
      </c>
      <c r="T44" s="87">
        <f>T13-T42</f>
        <v>132822.94117647054</v>
      </c>
      <c r="U44" s="95">
        <f t="shared" si="29"/>
        <v>351115.37815126055</v>
      </c>
      <c r="V44" s="94">
        <f t="shared" si="29"/>
        <v>226228.57401890773</v>
      </c>
      <c r="W44" s="87">
        <f t="shared" si="29"/>
        <v>436031.26050420175</v>
      </c>
      <c r="X44" s="95">
        <f t="shared" si="29"/>
        <v>662259.83452310925</v>
      </c>
    </row>
    <row r="45" spans="2:24" x14ac:dyDescent="0.25">
      <c r="B45" s="102"/>
      <c r="C45" s="66"/>
      <c r="D45" s="9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91"/>
      <c r="R45" s="71"/>
      <c r="S45" s="71"/>
      <c r="T45" s="71"/>
      <c r="U45" s="92"/>
      <c r="V45" s="91"/>
      <c r="W45" s="71"/>
      <c r="X45" s="103"/>
    </row>
    <row r="46" spans="2:24" x14ac:dyDescent="0.25">
      <c r="B46" s="136" t="s">
        <v>10</v>
      </c>
      <c r="C46" s="67" t="s">
        <v>77</v>
      </c>
      <c r="D46" s="94">
        <v>0</v>
      </c>
      <c r="E46" s="87">
        <f>D44</f>
        <v>31716.666666666686</v>
      </c>
      <c r="F46" s="87">
        <f t="shared" ref="F46:O46" si="30">E48</f>
        <v>46170.224089635871</v>
      </c>
      <c r="G46" s="87">
        <f t="shared" si="30"/>
        <v>17912.016806722699</v>
      </c>
      <c r="H46" s="87">
        <f t="shared" si="30"/>
        <v>13973.473389355753</v>
      </c>
      <c r="I46" s="87">
        <f t="shared" si="30"/>
        <v>9816.1064425770419</v>
      </c>
      <c r="J46" s="87">
        <f t="shared" si="30"/>
        <v>8818.4033613445536</v>
      </c>
      <c r="K46" s="87">
        <f t="shared" si="30"/>
        <v>10980.364145658281</v>
      </c>
      <c r="L46" s="87">
        <f t="shared" si="30"/>
        <v>16301.988795518224</v>
      </c>
      <c r="M46" s="87">
        <f t="shared" si="30"/>
        <v>24783.277310924383</v>
      </c>
      <c r="N46" s="87">
        <f t="shared" si="30"/>
        <v>36424.229691876768</v>
      </c>
      <c r="O46" s="87">
        <f t="shared" si="30"/>
        <v>51224.845938375365</v>
      </c>
      <c r="P46" s="87"/>
      <c r="Q46" s="94">
        <f>O48</f>
        <v>69185.126050420178</v>
      </c>
      <c r="R46" s="87">
        <f>Q48</f>
        <v>110167.81512605045</v>
      </c>
      <c r="S46" s="87">
        <f t="shared" ref="S46:T46" si="31">R48</f>
        <v>184604.2016806723</v>
      </c>
      <c r="T46" s="87">
        <f t="shared" si="31"/>
        <v>287477.56302521011</v>
      </c>
      <c r="U46" s="95"/>
      <c r="V46" s="94">
        <f>T48</f>
        <v>420300.50420168065</v>
      </c>
      <c r="W46" s="87">
        <f>V48</f>
        <v>646529.07822058839</v>
      </c>
      <c r="X46" s="95"/>
    </row>
    <row r="47" spans="2:24" x14ac:dyDescent="0.25">
      <c r="B47" s="102"/>
      <c r="C47" s="66"/>
      <c r="D47" s="9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91"/>
      <c r="R47" s="71"/>
      <c r="S47" s="71"/>
      <c r="T47" s="71"/>
      <c r="U47" s="92"/>
      <c r="V47" s="91"/>
      <c r="W47" s="71"/>
      <c r="X47" s="103"/>
    </row>
    <row r="48" spans="2:24" ht="13.8" thickBot="1" x14ac:dyDescent="0.3">
      <c r="B48" s="137" t="s">
        <v>23</v>
      </c>
      <c r="C48" s="104" t="s">
        <v>78</v>
      </c>
      <c r="D48" s="97">
        <f>D44-D46</f>
        <v>31716.666666666686</v>
      </c>
      <c r="E48" s="98">
        <f>E44+E46</f>
        <v>46170.224089635871</v>
      </c>
      <c r="F48" s="98">
        <f t="shared" ref="F48:T48" si="32">F44+F46</f>
        <v>17912.016806722699</v>
      </c>
      <c r="G48" s="98">
        <f t="shared" si="32"/>
        <v>13973.473389355753</v>
      </c>
      <c r="H48" s="98">
        <f t="shared" si="32"/>
        <v>9816.1064425770419</v>
      </c>
      <c r="I48" s="98">
        <f t="shared" si="32"/>
        <v>8818.4033613445536</v>
      </c>
      <c r="J48" s="98">
        <f t="shared" si="32"/>
        <v>10980.364145658281</v>
      </c>
      <c r="K48" s="98">
        <f t="shared" si="32"/>
        <v>16301.988795518224</v>
      </c>
      <c r="L48" s="98">
        <f t="shared" si="32"/>
        <v>24783.277310924383</v>
      </c>
      <c r="M48" s="98">
        <f t="shared" si="32"/>
        <v>36424.229691876768</v>
      </c>
      <c r="N48" s="98">
        <f t="shared" si="32"/>
        <v>51224.845938375365</v>
      </c>
      <c r="O48" s="98">
        <f t="shared" si="32"/>
        <v>69185.126050420178</v>
      </c>
      <c r="P48" s="99"/>
      <c r="Q48" s="98">
        <f t="shared" si="32"/>
        <v>110167.81512605045</v>
      </c>
      <c r="R48" s="98">
        <f t="shared" si="32"/>
        <v>184604.2016806723</v>
      </c>
      <c r="S48" s="98">
        <f t="shared" si="32"/>
        <v>287477.56302521011</v>
      </c>
      <c r="T48" s="98">
        <f t="shared" si="32"/>
        <v>420300.50420168065</v>
      </c>
      <c r="U48" s="99"/>
      <c r="V48" s="97">
        <f>V44--V46</f>
        <v>646529.07822058839</v>
      </c>
      <c r="W48" s="98">
        <f>W44--W46</f>
        <v>1082560.3387247901</v>
      </c>
      <c r="X48" s="99"/>
    </row>
    <row r="49" spans="2:22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2:22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2:22" x14ac:dyDescent="0.25">
      <c r="B51" s="16"/>
    </row>
  </sheetData>
  <mergeCells count="3">
    <mergeCell ref="D2:P2"/>
    <mergeCell ref="Q2:U2"/>
    <mergeCell ref="V2:X2"/>
  </mergeCells>
  <conditionalFormatting sqref="D49:Q50 P44 D44:O46 D48:O48">
    <cfRule type="cellIs" dxfId="4" priority="8" stopIfTrue="1" operator="lessThan">
      <formula>0</formula>
    </cfRule>
  </conditionalFormatting>
  <conditionalFormatting sqref="R49:V50">
    <cfRule type="cellIs" dxfId="3" priority="7" stopIfTrue="1" operator="lessThan">
      <formula>0</formula>
    </cfRule>
  </conditionalFormatting>
  <conditionalFormatting sqref="Q44:X44">
    <cfRule type="cellIs" dxfId="2" priority="5" stopIfTrue="1" operator="lessThan">
      <formula>0</formula>
    </cfRule>
  </conditionalFormatting>
  <conditionalFormatting sqref="V48:W48">
    <cfRule type="cellIs" dxfId="1" priority="3" stopIfTrue="1" operator="lessThan">
      <formula>0</formula>
    </cfRule>
  </conditionalFormatting>
  <conditionalFormatting sqref="Q48:T48">
    <cfRule type="cellIs" dxfId="0" priority="1" stopIfTrue="1" operator="less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8"/>
  <sheetViews>
    <sheetView topLeftCell="A16" workbookViewId="0">
      <selection activeCell="D20" sqref="D20"/>
    </sheetView>
  </sheetViews>
  <sheetFormatPr baseColWidth="10" defaultRowHeight="13.8" x14ac:dyDescent="0.3"/>
  <cols>
    <col min="1" max="1" width="11.5546875" style="119"/>
    <col min="2" max="2" width="5.33203125" style="119" bestFit="1" customWidth="1"/>
    <col min="3" max="3" width="69.109375" style="119" bestFit="1" customWidth="1"/>
    <col min="4" max="4" width="12" style="119" bestFit="1" customWidth="1"/>
    <col min="5" max="16384" width="11.5546875" style="119"/>
  </cols>
  <sheetData>
    <row r="2" spans="2:8" x14ac:dyDescent="0.25">
      <c r="D2" s="133" t="s">
        <v>2</v>
      </c>
      <c r="E2" s="163" t="s">
        <v>3</v>
      </c>
      <c r="F2" s="164"/>
      <c r="G2" s="165" t="s">
        <v>4</v>
      </c>
      <c r="H2" s="165"/>
    </row>
    <row r="3" spans="2:8" ht="27.6" x14ac:dyDescent="0.3">
      <c r="D3" s="113" t="s">
        <v>187</v>
      </c>
      <c r="E3" s="113" t="s">
        <v>187</v>
      </c>
      <c r="F3" s="113" t="s">
        <v>186</v>
      </c>
      <c r="G3" s="113" t="s">
        <v>187</v>
      </c>
      <c r="H3" s="113" t="s">
        <v>186</v>
      </c>
    </row>
    <row r="4" spans="2:8" ht="13.8" customHeight="1" x14ac:dyDescent="0.3">
      <c r="D4" s="117"/>
      <c r="E4" s="117"/>
      <c r="F4" s="117"/>
      <c r="G4" s="117"/>
      <c r="H4" s="117"/>
    </row>
    <row r="5" spans="2:8" ht="13.8" customHeight="1" x14ac:dyDescent="0.3">
      <c r="B5" s="112" t="s">
        <v>5</v>
      </c>
      <c r="C5" s="117" t="s">
        <v>6</v>
      </c>
      <c r="D5" s="118">
        <f>Liquiditätsplan!P7/1.19</f>
        <v>215394.95798319328</v>
      </c>
      <c r="E5" s="118">
        <f>Liquiditätsplan!U7/1.19</f>
        <v>682084.03361344535</v>
      </c>
      <c r="F5" s="118">
        <f>E5-D5</f>
        <v>466689.07563025207</v>
      </c>
      <c r="G5" s="118">
        <f>Liquiditätsplan!X7/1.19</f>
        <v>1166722.6890756304</v>
      </c>
      <c r="H5" s="118">
        <f>G5-E5</f>
        <v>484638.65546218504</v>
      </c>
    </row>
    <row r="6" spans="2:8" x14ac:dyDescent="0.3">
      <c r="B6" s="112" t="s">
        <v>7</v>
      </c>
      <c r="C6" s="117" t="s">
        <v>248</v>
      </c>
      <c r="D6" s="118">
        <v>0</v>
      </c>
      <c r="E6" s="118">
        <v>0</v>
      </c>
      <c r="F6" s="118">
        <f t="shared" ref="F6:F30" si="0">E6-D6</f>
        <v>0</v>
      </c>
      <c r="G6" s="118">
        <v>0</v>
      </c>
      <c r="H6" s="118">
        <f t="shared" ref="H6:H8" si="1">G6-E6</f>
        <v>0</v>
      </c>
    </row>
    <row r="7" spans="2:8" x14ac:dyDescent="0.3">
      <c r="B7" s="112" t="s">
        <v>8</v>
      </c>
      <c r="C7" s="117" t="s">
        <v>249</v>
      </c>
      <c r="D7" s="118">
        <v>0</v>
      </c>
      <c r="E7" s="118">
        <v>0</v>
      </c>
      <c r="F7" s="118">
        <f t="shared" si="0"/>
        <v>0</v>
      </c>
      <c r="G7" s="118">
        <v>0</v>
      </c>
      <c r="H7" s="118">
        <f t="shared" si="1"/>
        <v>0</v>
      </c>
    </row>
    <row r="8" spans="2:8" x14ac:dyDescent="0.3">
      <c r="B8" s="112" t="s">
        <v>9</v>
      </c>
      <c r="C8" s="117" t="s">
        <v>42</v>
      </c>
      <c r="D8" s="118">
        <f>Liquiditätsplan!P8/1.19</f>
        <v>133109.24369747899</v>
      </c>
      <c r="E8" s="118">
        <f>Liquiditätsplan!U8/1.19</f>
        <v>504705.8823529412</v>
      </c>
      <c r="F8" s="118">
        <f t="shared" si="0"/>
        <v>371596.63865546219</v>
      </c>
      <c r="G8" s="118">
        <f>Liquiditätsplan!X8/1.19</f>
        <v>721008.40336134471</v>
      </c>
      <c r="H8" s="118">
        <f t="shared" si="1"/>
        <v>216302.52100840351</v>
      </c>
    </row>
    <row r="9" spans="2:8" x14ac:dyDescent="0.3">
      <c r="B9" s="112" t="s">
        <v>10</v>
      </c>
      <c r="C9" s="117" t="s">
        <v>250</v>
      </c>
      <c r="D9" s="118"/>
      <c r="E9" s="118"/>
      <c r="F9" s="118"/>
      <c r="G9" s="118"/>
      <c r="H9" s="118"/>
    </row>
    <row r="10" spans="2:8" x14ac:dyDescent="0.3">
      <c r="B10" s="117" t="s">
        <v>251</v>
      </c>
      <c r="C10" s="117" t="s">
        <v>252</v>
      </c>
      <c r="D10" s="118">
        <f>Liquiditätsplan!P15/1.19</f>
        <v>121008.40336134455</v>
      </c>
      <c r="E10" s="118">
        <f>Liquiditätsplan!U15/1.19</f>
        <v>458823.5294117647</v>
      </c>
      <c r="F10" s="118">
        <f t="shared" si="0"/>
        <v>337815.12605042016</v>
      </c>
      <c r="G10" s="118">
        <f>Liquiditätsplan!X15/1.19</f>
        <v>655462.18487394962</v>
      </c>
      <c r="H10" s="118">
        <f t="shared" ref="H10:H11" si="2">G10-E10</f>
        <v>196638.65546218492</v>
      </c>
    </row>
    <row r="11" spans="2:8" x14ac:dyDescent="0.3">
      <c r="B11" s="117" t="s">
        <v>253</v>
      </c>
      <c r="C11" s="117" t="s">
        <v>254</v>
      </c>
      <c r="D11" s="118">
        <f>((Liquiditätsplan!P20+Liquiditätsplan!P31)/1.19)+Liquiditätsplan!P28</f>
        <v>90672.100840336134</v>
      </c>
      <c r="E11" s="118">
        <f>((Liquiditätsplan!U20+Liquiditätsplan!U31)/1.19)+Liquiditätsplan!U28</f>
        <v>90672.100840336134</v>
      </c>
      <c r="F11" s="118">
        <f t="shared" si="0"/>
        <v>0</v>
      </c>
      <c r="G11" s="118">
        <f>((Liquiditätsplan!X20+Liquiditätsplan!X31)/1.19)+Liquiditätsplan!X28</f>
        <v>90672.100840336134</v>
      </c>
      <c r="H11" s="118">
        <f t="shared" si="2"/>
        <v>0</v>
      </c>
    </row>
    <row r="12" spans="2:8" x14ac:dyDescent="0.3">
      <c r="B12" s="112" t="s">
        <v>23</v>
      </c>
      <c r="C12" s="117" t="s">
        <v>255</v>
      </c>
      <c r="D12" s="118"/>
      <c r="E12" s="118"/>
      <c r="F12" s="118"/>
      <c r="G12" s="118"/>
      <c r="H12" s="118"/>
    </row>
    <row r="13" spans="2:8" x14ac:dyDescent="0.3">
      <c r="B13" s="117" t="s">
        <v>251</v>
      </c>
      <c r="C13" s="117" t="s">
        <v>256</v>
      </c>
      <c r="D13" s="118">
        <f>(Liquiditätsplan!P18+Liquiditätsplan!P19)/1.2</f>
        <v>60000</v>
      </c>
      <c r="E13" s="118">
        <f>(Liquiditätsplan!U18+Liquiditätsplan!U19)/1.2</f>
        <v>180100</v>
      </c>
      <c r="F13" s="118">
        <f t="shared" si="0"/>
        <v>120100</v>
      </c>
      <c r="G13" s="118">
        <f>(Liquiditätsplan!X18+Liquiditätsplan!X19)/1.2</f>
        <v>265200</v>
      </c>
      <c r="H13" s="118">
        <f t="shared" ref="H13:H18" si="3">G13-E13</f>
        <v>85100</v>
      </c>
    </row>
    <row r="14" spans="2:8" x14ac:dyDescent="0.3">
      <c r="B14" s="117" t="s">
        <v>253</v>
      </c>
      <c r="C14" s="117" t="s">
        <v>257</v>
      </c>
      <c r="D14" s="118">
        <f>D13*0.2</f>
        <v>12000</v>
      </c>
      <c r="E14" s="118">
        <f>E13*0.2</f>
        <v>36020</v>
      </c>
      <c r="F14" s="118">
        <f t="shared" si="0"/>
        <v>24020</v>
      </c>
      <c r="G14" s="118">
        <f>G13*0.2</f>
        <v>53040</v>
      </c>
      <c r="H14" s="118">
        <f t="shared" si="3"/>
        <v>17020</v>
      </c>
    </row>
    <row r="15" spans="2:8" ht="13.8" customHeight="1" x14ac:dyDescent="0.3">
      <c r="B15" s="112" t="s">
        <v>24</v>
      </c>
      <c r="C15" s="117" t="s">
        <v>258</v>
      </c>
      <c r="D15" s="118"/>
      <c r="E15" s="118"/>
      <c r="F15" s="118"/>
      <c r="G15" s="118"/>
      <c r="H15" s="118"/>
    </row>
    <row r="16" spans="2:8" ht="13.8" customHeight="1" x14ac:dyDescent="0.3">
      <c r="B16" s="117" t="s">
        <v>251</v>
      </c>
      <c r="C16" s="117" t="s">
        <v>259</v>
      </c>
      <c r="D16" s="118">
        <f>'Abschreibungen Anlagevermögen'!$I$10</f>
        <v>39059</v>
      </c>
      <c r="E16" s="118">
        <f>'Abschreibungen Anlagevermögen'!$I$10</f>
        <v>39059</v>
      </c>
      <c r="F16" s="118">
        <f t="shared" si="0"/>
        <v>0</v>
      </c>
      <c r="G16" s="118">
        <f>'Abschreibungen Anlagevermögen'!$I$10</f>
        <v>39059</v>
      </c>
      <c r="H16" s="118">
        <f t="shared" si="3"/>
        <v>0</v>
      </c>
    </row>
    <row r="17" spans="2:8" ht="27.6" x14ac:dyDescent="0.3">
      <c r="B17" s="117" t="s">
        <v>253</v>
      </c>
      <c r="C17" s="120" t="s">
        <v>263</v>
      </c>
      <c r="D17" s="118">
        <v>0</v>
      </c>
      <c r="E17" s="118">
        <v>0</v>
      </c>
      <c r="F17" s="118">
        <f t="shared" si="0"/>
        <v>0</v>
      </c>
      <c r="G17" s="118">
        <v>0</v>
      </c>
      <c r="H17" s="118">
        <f t="shared" si="3"/>
        <v>0</v>
      </c>
    </row>
    <row r="18" spans="2:8" x14ac:dyDescent="0.3">
      <c r="B18" s="112" t="s">
        <v>25</v>
      </c>
      <c r="C18" s="117" t="s">
        <v>233</v>
      </c>
      <c r="D18" s="118">
        <f>(Kapitalbedarfsplan!D6+Liquiditätsplan!P21+Liquiditätsplan!P22+Liquiditätsplan!P23+Liquiditätsplan!P24+Liquiditätsplan!P25+Liquiditätsplan!P26+Liquiditätsplan!P27+Liquiditätsplan!P29+Liquiditätsplan!P30+Liquiditätsplan!P32+Liquiditätsplan!P34)/1.19</f>
        <v>140319.32773109243</v>
      </c>
      <c r="E18" s="118">
        <f>(Liquiditätsplan!U21+Liquiditätsplan!U22+Liquiditätsplan!U23+Liquiditätsplan!U24+Liquiditätsplan!U25+Liquiditätsplan!U26+Liquiditätsplan!U27+Liquiditätsplan!U29+Liquiditätsplan!U30+Liquiditätsplan!U32+Liquiditätsplan!U34+Liquiditätsplan!U38)/1.19</f>
        <v>55462.184873949584</v>
      </c>
      <c r="F18" s="118">
        <f t="shared" si="0"/>
        <v>-84857.142857142841</v>
      </c>
      <c r="G18" s="118">
        <f>(Liquiditätsplan!X21+Liquiditätsplan!X22+Liquiditätsplan!X23+Liquiditätsplan!X24+Liquiditätsplan!X25+Liquiditätsplan!X26+Liquiditätsplan!X27+Liquiditätsplan!X29+Liquiditätsplan!X30+Liquiditätsplan!X32+Liquiditätsplan!X34+Liquiditätsplan!X38)/1.19</f>
        <v>55462.184873949584</v>
      </c>
      <c r="H18" s="118">
        <f t="shared" si="3"/>
        <v>0</v>
      </c>
    </row>
    <row r="19" spans="2:8" s="121" customFormat="1" x14ac:dyDescent="0.3">
      <c r="C19" s="122"/>
      <c r="D19" s="123"/>
      <c r="E19" s="123"/>
      <c r="F19" s="123"/>
      <c r="G19" s="123"/>
    </row>
    <row r="20" spans="2:8" s="121" customFormat="1" x14ac:dyDescent="0.3">
      <c r="C20" s="117" t="s">
        <v>265</v>
      </c>
      <c r="D20" s="124">
        <f>SUM(D5:D8)-SUM(D9:D18)</f>
        <v>-114554.63025210088</v>
      </c>
      <c r="E20" s="118">
        <f>SUM(E5:E8)-SUM(E9:E18)</f>
        <v>326653.10084033594</v>
      </c>
      <c r="F20" s="118">
        <f t="shared" si="0"/>
        <v>441207.73109243682</v>
      </c>
      <c r="G20" s="118">
        <f>SUM(G5:G8)-SUM(G9:G18)</f>
        <v>728835.62184873968</v>
      </c>
      <c r="H20" s="118">
        <f>G20-E20</f>
        <v>402182.52100840374</v>
      </c>
    </row>
    <row r="21" spans="2:8" s="121" customFormat="1" x14ac:dyDescent="0.3">
      <c r="C21" s="122"/>
      <c r="D21" s="123"/>
      <c r="E21" s="123"/>
      <c r="F21" s="123"/>
      <c r="G21" s="123"/>
    </row>
    <row r="22" spans="2:8" x14ac:dyDescent="0.3">
      <c r="B22" s="112" t="s">
        <v>235</v>
      </c>
      <c r="C22" s="117" t="s">
        <v>234</v>
      </c>
      <c r="D22" s="118">
        <v>0</v>
      </c>
      <c r="E22" s="118">
        <v>0</v>
      </c>
      <c r="F22" s="118">
        <f t="shared" si="0"/>
        <v>0</v>
      </c>
      <c r="G22" s="118">
        <v>0</v>
      </c>
      <c r="H22" s="118">
        <f t="shared" ref="H22:H30" si="4">G22-E22</f>
        <v>0</v>
      </c>
    </row>
    <row r="23" spans="2:8" x14ac:dyDescent="0.3">
      <c r="B23" s="112" t="s">
        <v>237</v>
      </c>
      <c r="C23" s="117" t="s">
        <v>236</v>
      </c>
      <c r="D23" s="118">
        <v>0</v>
      </c>
      <c r="E23" s="118">
        <v>0</v>
      </c>
      <c r="F23" s="118">
        <f t="shared" si="0"/>
        <v>0</v>
      </c>
      <c r="G23" s="118">
        <v>0</v>
      </c>
      <c r="H23" s="118">
        <f t="shared" si="4"/>
        <v>0</v>
      </c>
    </row>
    <row r="24" spans="2:8" x14ac:dyDescent="0.3">
      <c r="B24" s="112" t="s">
        <v>238</v>
      </c>
      <c r="C24" s="117" t="s">
        <v>264</v>
      </c>
      <c r="D24" s="118">
        <v>0</v>
      </c>
      <c r="E24" s="118">
        <v>0</v>
      </c>
      <c r="F24" s="118">
        <f t="shared" si="0"/>
        <v>0</v>
      </c>
      <c r="G24" s="118">
        <v>0</v>
      </c>
      <c r="H24" s="118">
        <f t="shared" si="4"/>
        <v>0</v>
      </c>
    </row>
    <row r="25" spans="2:8" x14ac:dyDescent="0.3">
      <c r="B25" s="112" t="s">
        <v>240</v>
      </c>
      <c r="C25" s="117" t="s">
        <v>239</v>
      </c>
      <c r="D25" s="118">
        <v>0</v>
      </c>
      <c r="E25" s="118">
        <v>0</v>
      </c>
      <c r="F25" s="118">
        <f t="shared" si="0"/>
        <v>0</v>
      </c>
      <c r="G25" s="118">
        <v>0</v>
      </c>
      <c r="H25" s="118">
        <f t="shared" si="4"/>
        <v>0</v>
      </c>
    </row>
    <row r="26" spans="2:8" x14ac:dyDescent="0.3">
      <c r="B26" s="112" t="s">
        <v>241</v>
      </c>
      <c r="C26" s="117" t="s">
        <v>262</v>
      </c>
      <c r="D26" s="118">
        <f>Liquiditätsplan!P33</f>
        <v>6000</v>
      </c>
      <c r="E26" s="118">
        <f>Liquiditätsplan!U33</f>
        <v>6000</v>
      </c>
      <c r="F26" s="118">
        <f t="shared" si="0"/>
        <v>0</v>
      </c>
      <c r="G26" s="118">
        <f>Liquiditätsplan!X33</f>
        <v>6000</v>
      </c>
      <c r="H26" s="118">
        <f t="shared" si="4"/>
        <v>0</v>
      </c>
    </row>
    <row r="27" spans="2:8" x14ac:dyDescent="0.3">
      <c r="B27" s="112" t="s">
        <v>243</v>
      </c>
      <c r="C27" s="117" t="s">
        <v>242</v>
      </c>
      <c r="D27" s="118">
        <f>D38</f>
        <v>0</v>
      </c>
      <c r="E27" s="118">
        <f>E38</f>
        <v>95634.787325630197</v>
      </c>
      <c r="F27" s="118">
        <f t="shared" si="0"/>
        <v>95634.787325630197</v>
      </c>
      <c r="G27" s="118">
        <f>G38</f>
        <v>215585.72421638662</v>
      </c>
      <c r="H27" s="118">
        <f t="shared" si="4"/>
        <v>119950.93689075642</v>
      </c>
    </row>
    <row r="28" spans="2:8" x14ac:dyDescent="0.3">
      <c r="B28" s="112" t="s">
        <v>245</v>
      </c>
      <c r="C28" s="117" t="s">
        <v>244</v>
      </c>
      <c r="D28" s="118">
        <f>D20+D22+D23+D24-D25-D26-D27</f>
        <v>-120554.63025210088</v>
      </c>
      <c r="E28" s="118">
        <f>E20+E22+E23+E24-E25-E26-E27</f>
        <v>225018.31351470575</v>
      </c>
      <c r="F28" s="118">
        <f t="shared" si="0"/>
        <v>345572.94376680662</v>
      </c>
      <c r="G28" s="118">
        <f>G20+G22+G23+G24-G25-G26-G27</f>
        <v>507249.89763235307</v>
      </c>
      <c r="H28" s="118">
        <f t="shared" si="4"/>
        <v>282231.58411764732</v>
      </c>
    </row>
    <row r="29" spans="2:8" x14ac:dyDescent="0.3">
      <c r="B29" s="112" t="s">
        <v>247</v>
      </c>
      <c r="C29" s="117" t="s">
        <v>246</v>
      </c>
      <c r="D29" s="118">
        <f>Liquiditätsplan!P35</f>
        <v>0</v>
      </c>
      <c r="E29" s="118">
        <f>Liquiditätsplan!Q35</f>
        <v>0</v>
      </c>
      <c r="F29" s="118">
        <f t="shared" si="0"/>
        <v>0</v>
      </c>
      <c r="G29" s="118">
        <f>Liquiditätsplan!R35</f>
        <v>0</v>
      </c>
      <c r="H29" s="118">
        <f t="shared" si="4"/>
        <v>0</v>
      </c>
    </row>
    <row r="30" spans="2:8" x14ac:dyDescent="0.3">
      <c r="B30" s="112" t="s">
        <v>260</v>
      </c>
      <c r="C30" s="117" t="s">
        <v>188</v>
      </c>
      <c r="D30" s="118">
        <f>D28-D29</f>
        <v>-120554.63025210088</v>
      </c>
      <c r="E30" s="118">
        <f t="shared" ref="E30:G30" si="5">E28-E29</f>
        <v>225018.31351470575</v>
      </c>
      <c r="F30" s="118">
        <f t="shared" si="0"/>
        <v>345572.94376680662</v>
      </c>
      <c r="G30" s="118">
        <f t="shared" si="5"/>
        <v>507249.89763235307</v>
      </c>
      <c r="H30" s="118">
        <f t="shared" si="4"/>
        <v>282231.58411764732</v>
      </c>
    </row>
    <row r="34" spans="3:7" x14ac:dyDescent="0.3">
      <c r="C34" s="117" t="s">
        <v>242</v>
      </c>
    </row>
    <row r="35" spans="3:7" x14ac:dyDescent="0.25">
      <c r="C35" s="8" t="s">
        <v>104</v>
      </c>
      <c r="D35" s="115">
        <f>IF(D20-SUM(D22:D26)&lt;=0,0,(D20-SUM(D22:D26))*0.15)</f>
        <v>0</v>
      </c>
      <c r="E35" s="115">
        <f>IF(E20-SUM(E22:E26)&lt;=0,0,((E20-SUM(E22:E26))*0.15))</f>
        <v>48097.965126050389</v>
      </c>
      <c r="F35" s="115"/>
      <c r="G35" s="115">
        <f>IF(G20-SUM(G22:G26)&lt;=0,0,(G20-SUM(G22:G26))*0.15)</f>
        <v>108425.34327731095</v>
      </c>
    </row>
    <row r="36" spans="3:7" x14ac:dyDescent="0.25">
      <c r="C36" s="8" t="s">
        <v>105</v>
      </c>
      <c r="D36" s="115">
        <f>D35*0.055</f>
        <v>0</v>
      </c>
      <c r="E36" s="115">
        <f t="shared" ref="E36:G36" si="6">E35*0.055</f>
        <v>2645.3880819327715</v>
      </c>
      <c r="F36" s="115"/>
      <c r="G36" s="115">
        <f t="shared" si="6"/>
        <v>5963.3938802521025</v>
      </c>
    </row>
    <row r="37" spans="3:7" x14ac:dyDescent="0.25">
      <c r="C37" s="8" t="s">
        <v>106</v>
      </c>
      <c r="D37" s="115">
        <f>IF(D20-SUM(D22:D26)&lt;=0,0,(D20-SUM(D22:D26))*0.035*4)</f>
        <v>0</v>
      </c>
      <c r="E37" s="115">
        <f>IF(E20-SUM(E22:E26)&lt;=0,0,(E20-SUM(E22:E26))*0.035*4)</f>
        <v>44891.434117647033</v>
      </c>
      <c r="F37" s="115"/>
      <c r="G37" s="115">
        <f>IF(G20-SUM(G22:G26)&lt;=0,0,(G20-SUM(G22:G26))*0.035*4)</f>
        <v>101196.98705882356</v>
      </c>
    </row>
    <row r="38" spans="3:7" x14ac:dyDescent="0.3">
      <c r="C38" s="112" t="s">
        <v>196</v>
      </c>
      <c r="D38" s="125">
        <f>SUM(D35:D37)</f>
        <v>0</v>
      </c>
      <c r="E38" s="125">
        <f t="shared" ref="E38:G38" si="7">SUM(E35:E37)</f>
        <v>95634.787325630197</v>
      </c>
      <c r="F38" s="125"/>
      <c r="G38" s="125">
        <f t="shared" si="7"/>
        <v>215585.72421638662</v>
      </c>
    </row>
  </sheetData>
  <mergeCells count="2">
    <mergeCell ref="E2:F2"/>
    <mergeCell ref="G2:H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3"/>
  <sheetViews>
    <sheetView workbookViewId="0">
      <selection activeCell="K91" sqref="K91:N112"/>
    </sheetView>
  </sheetViews>
  <sheetFormatPr baseColWidth="10" defaultColWidth="10.6640625" defaultRowHeight="14.4" x14ac:dyDescent="0.3"/>
  <cols>
    <col min="1" max="1" width="10.6640625" style="21"/>
    <col min="2" max="2" width="5.6640625" style="21" customWidth="1"/>
    <col min="3" max="3" width="3.21875" style="22" customWidth="1"/>
    <col min="4" max="4" width="4.109375" style="21" customWidth="1"/>
    <col min="5" max="5" width="47.21875" style="21" customWidth="1"/>
    <col min="6" max="6" width="14.109375" style="21" bestFit="1" customWidth="1"/>
    <col min="7" max="7" width="10.6640625" style="21"/>
    <col min="8" max="8" width="5.6640625" style="21" customWidth="1"/>
    <col min="9" max="9" width="3.21875" style="22" customWidth="1"/>
    <col min="10" max="10" width="4.109375" style="21" customWidth="1"/>
    <col min="11" max="11" width="47.21875" style="21" customWidth="1"/>
    <col min="12" max="12" width="10.6640625" style="126" customWidth="1"/>
    <col min="13" max="14" width="10.6640625" style="21"/>
    <col min="15" max="15" width="5.6640625" style="21" customWidth="1"/>
    <col min="16" max="16" width="3.21875" style="22" customWidth="1"/>
    <col min="17" max="17" width="4.109375" style="21" customWidth="1"/>
    <col min="18" max="18" width="47.21875" style="21" customWidth="1"/>
    <col min="19" max="19" width="10.6640625" style="21" customWidth="1"/>
    <col min="20" max="20" width="10.6640625" style="126"/>
    <col min="21" max="16384" width="10.6640625" style="21"/>
  </cols>
  <sheetData>
    <row r="1" spans="2:21" ht="15" thickBot="1" x14ac:dyDescent="0.35"/>
    <row r="2" spans="2:21" x14ac:dyDescent="0.3">
      <c r="B2" s="168" t="s">
        <v>115</v>
      </c>
      <c r="C2" s="169"/>
      <c r="D2" s="169"/>
      <c r="E2" s="169"/>
      <c r="F2" s="170"/>
      <c r="H2" s="168" t="s">
        <v>113</v>
      </c>
      <c r="I2" s="169"/>
      <c r="J2" s="169"/>
      <c r="K2" s="169"/>
      <c r="L2" s="169"/>
      <c r="M2" s="170"/>
      <c r="O2" s="168" t="s">
        <v>114</v>
      </c>
      <c r="P2" s="169"/>
      <c r="Q2" s="169"/>
      <c r="R2" s="169"/>
      <c r="S2" s="169"/>
      <c r="T2" s="170"/>
    </row>
    <row r="3" spans="2:21" ht="15" thickBot="1" x14ac:dyDescent="0.35">
      <c r="B3" s="43"/>
      <c r="C3" s="44"/>
      <c r="D3" s="45"/>
      <c r="E3" s="45"/>
      <c r="F3" s="30"/>
      <c r="H3" s="43"/>
      <c r="I3" s="44"/>
      <c r="J3" s="45"/>
      <c r="K3" s="45"/>
      <c r="L3" s="127"/>
      <c r="M3" s="30"/>
      <c r="O3" s="43"/>
      <c r="P3" s="44"/>
      <c r="Q3" s="45"/>
      <c r="R3" s="45"/>
      <c r="S3" s="45"/>
      <c r="T3" s="138"/>
    </row>
    <row r="4" spans="2:21" ht="15" thickBot="1" x14ac:dyDescent="0.35">
      <c r="B4" s="31" t="s">
        <v>116</v>
      </c>
      <c r="C4" s="34"/>
      <c r="D4" s="32"/>
      <c r="E4" s="32"/>
      <c r="F4" s="33"/>
      <c r="H4" s="31" t="s">
        <v>116</v>
      </c>
      <c r="I4" s="34"/>
      <c r="J4" s="32"/>
      <c r="K4" s="32"/>
      <c r="L4" s="128"/>
      <c r="M4" s="33"/>
      <c r="O4" s="31" t="s">
        <v>116</v>
      </c>
      <c r="P4" s="34"/>
      <c r="Q4" s="32"/>
      <c r="R4" s="32"/>
      <c r="S4" s="32"/>
      <c r="T4" s="139"/>
    </row>
    <row r="5" spans="2:21" x14ac:dyDescent="0.3">
      <c r="B5" s="23"/>
      <c r="C5" s="35"/>
      <c r="D5" s="24"/>
      <c r="E5" s="24"/>
      <c r="F5" s="25"/>
      <c r="H5" s="23"/>
      <c r="I5" s="35"/>
      <c r="J5" s="24"/>
      <c r="K5" s="24"/>
      <c r="L5" s="129"/>
      <c r="M5" s="25"/>
      <c r="O5" s="23"/>
      <c r="P5" s="35"/>
      <c r="Q5" s="24"/>
      <c r="R5" s="24"/>
      <c r="S5" s="24"/>
      <c r="T5" s="140"/>
    </row>
    <row r="6" spans="2:21" x14ac:dyDescent="0.3">
      <c r="B6" s="177" t="s">
        <v>118</v>
      </c>
      <c r="C6" s="178"/>
      <c r="D6" s="178"/>
      <c r="E6" s="178"/>
      <c r="F6" s="57"/>
      <c r="H6" s="181" t="s">
        <v>118</v>
      </c>
      <c r="I6" s="175"/>
      <c r="J6" s="175"/>
      <c r="K6" s="175"/>
      <c r="L6" s="184" t="s">
        <v>187</v>
      </c>
      <c r="M6" s="182" t="s">
        <v>186</v>
      </c>
      <c r="O6" s="181" t="s">
        <v>118</v>
      </c>
      <c r="P6" s="175"/>
      <c r="Q6" s="175"/>
      <c r="R6" s="175"/>
      <c r="S6" s="189" t="s">
        <v>187</v>
      </c>
      <c r="T6" s="191" t="s">
        <v>186</v>
      </c>
    </row>
    <row r="7" spans="2:21" x14ac:dyDescent="0.3">
      <c r="B7" s="23"/>
      <c r="C7" s="35"/>
      <c r="D7" s="24"/>
      <c r="E7" s="24"/>
      <c r="F7" s="25"/>
      <c r="H7" s="23"/>
      <c r="I7" s="35"/>
      <c r="J7" s="24"/>
      <c r="K7" s="24"/>
      <c r="L7" s="185"/>
      <c r="M7" s="183"/>
      <c r="O7" s="23"/>
      <c r="P7" s="35"/>
      <c r="Q7" s="24"/>
      <c r="R7" s="24"/>
      <c r="S7" s="190"/>
      <c r="T7" s="192"/>
      <c r="U7" s="84"/>
    </row>
    <row r="8" spans="2:21" ht="14.25" customHeight="1" x14ac:dyDescent="0.3">
      <c r="B8" s="26"/>
      <c r="C8" s="53" t="s">
        <v>119</v>
      </c>
      <c r="D8" s="176" t="s">
        <v>120</v>
      </c>
      <c r="E8" s="176"/>
      <c r="F8" s="51"/>
      <c r="H8" s="26"/>
      <c r="I8" s="36" t="s">
        <v>119</v>
      </c>
      <c r="J8" s="180" t="s">
        <v>120</v>
      </c>
      <c r="K8" s="180"/>
      <c r="L8" s="130"/>
      <c r="M8" s="63"/>
      <c r="N8" s="84"/>
      <c r="O8" s="26"/>
      <c r="P8" s="36" t="s">
        <v>119</v>
      </c>
      <c r="Q8" s="180" t="s">
        <v>120</v>
      </c>
      <c r="R8" s="180"/>
      <c r="S8" s="62"/>
      <c r="T8" s="141"/>
      <c r="U8" s="84"/>
    </row>
    <row r="9" spans="2:21" ht="28.8" x14ac:dyDescent="0.3">
      <c r="B9" s="26"/>
      <c r="C9" s="36"/>
      <c r="D9" s="27" t="s">
        <v>5</v>
      </c>
      <c r="E9" s="27" t="s">
        <v>121</v>
      </c>
      <c r="F9" s="46">
        <v>0</v>
      </c>
      <c r="H9" s="26"/>
      <c r="I9" s="36"/>
      <c r="J9" s="27" t="s">
        <v>5</v>
      </c>
      <c r="K9" s="27" t="s">
        <v>121</v>
      </c>
      <c r="L9" s="130">
        <v>0</v>
      </c>
      <c r="M9" s="46">
        <f>L9-F9</f>
        <v>0</v>
      </c>
      <c r="N9" s="84"/>
      <c r="O9" s="26"/>
      <c r="P9" s="36"/>
      <c r="Q9" s="27" t="s">
        <v>5</v>
      </c>
      <c r="R9" s="27" t="s">
        <v>121</v>
      </c>
      <c r="S9" s="130">
        <v>0</v>
      </c>
      <c r="T9" s="141">
        <f t="shared" ref="T9:T12" si="0">S9-L9</f>
        <v>0</v>
      </c>
    </row>
    <row r="10" spans="2:21" ht="43.2" x14ac:dyDescent="0.3">
      <c r="B10" s="26"/>
      <c r="C10" s="36"/>
      <c r="D10" s="27" t="s">
        <v>7</v>
      </c>
      <c r="E10" s="27" t="s">
        <v>122</v>
      </c>
      <c r="F10" s="46">
        <v>0</v>
      </c>
      <c r="H10" s="26"/>
      <c r="I10" s="36"/>
      <c r="J10" s="27" t="s">
        <v>7</v>
      </c>
      <c r="K10" s="27" t="s">
        <v>122</v>
      </c>
      <c r="L10" s="130">
        <v>0</v>
      </c>
      <c r="M10" s="46">
        <f t="shared" ref="M10:M12" si="1">L10-F10</f>
        <v>0</v>
      </c>
      <c r="N10" s="84"/>
      <c r="O10" s="26"/>
      <c r="P10" s="36"/>
      <c r="Q10" s="27" t="s">
        <v>7</v>
      </c>
      <c r="R10" s="27" t="s">
        <v>122</v>
      </c>
      <c r="S10" s="130">
        <v>0</v>
      </c>
      <c r="T10" s="141">
        <f t="shared" si="0"/>
        <v>0</v>
      </c>
    </row>
    <row r="11" spans="2:21" x14ac:dyDescent="0.3">
      <c r="B11" s="26"/>
      <c r="C11" s="36"/>
      <c r="D11" s="27" t="s">
        <v>8</v>
      </c>
      <c r="E11" s="27" t="s">
        <v>123</v>
      </c>
      <c r="F11" s="46">
        <v>0</v>
      </c>
      <c r="H11" s="26"/>
      <c r="I11" s="36"/>
      <c r="J11" s="27" t="s">
        <v>8</v>
      </c>
      <c r="K11" s="27" t="s">
        <v>123</v>
      </c>
      <c r="L11" s="130">
        <v>0</v>
      </c>
      <c r="M11" s="46">
        <f t="shared" si="1"/>
        <v>0</v>
      </c>
      <c r="O11" s="26"/>
      <c r="P11" s="36"/>
      <c r="Q11" s="27" t="s">
        <v>8</v>
      </c>
      <c r="R11" s="27" t="s">
        <v>123</v>
      </c>
      <c r="S11" s="130">
        <v>0</v>
      </c>
      <c r="T11" s="141">
        <f t="shared" si="0"/>
        <v>0</v>
      </c>
    </row>
    <row r="12" spans="2:21" x14ac:dyDescent="0.3">
      <c r="B12" s="26"/>
      <c r="C12" s="36"/>
      <c r="D12" s="27" t="s">
        <v>9</v>
      </c>
      <c r="E12" s="27" t="s">
        <v>124</v>
      </c>
      <c r="F12" s="46">
        <v>0</v>
      </c>
      <c r="H12" s="26"/>
      <c r="I12" s="36"/>
      <c r="J12" s="27" t="s">
        <v>9</v>
      </c>
      <c r="K12" s="27" t="s">
        <v>124</v>
      </c>
      <c r="L12" s="130">
        <v>0</v>
      </c>
      <c r="M12" s="46">
        <f t="shared" si="1"/>
        <v>0</v>
      </c>
      <c r="O12" s="26"/>
      <c r="P12" s="36"/>
      <c r="Q12" s="27" t="s">
        <v>9</v>
      </c>
      <c r="R12" s="27" t="s">
        <v>124</v>
      </c>
      <c r="S12" s="130">
        <v>0</v>
      </c>
      <c r="T12" s="141">
        <f t="shared" si="0"/>
        <v>0</v>
      </c>
    </row>
    <row r="13" spans="2:21" ht="14.25" customHeight="1" x14ac:dyDescent="0.3">
      <c r="B13" s="26"/>
      <c r="C13" s="53" t="s">
        <v>125</v>
      </c>
      <c r="D13" s="186" t="s">
        <v>126</v>
      </c>
      <c r="E13" s="186"/>
      <c r="F13" s="51"/>
      <c r="H13" s="26"/>
      <c r="I13" s="36" t="s">
        <v>125</v>
      </c>
      <c r="J13" s="179" t="s">
        <v>126</v>
      </c>
      <c r="K13" s="179"/>
      <c r="L13" s="130"/>
      <c r="M13" s="46"/>
      <c r="O13" s="26"/>
      <c r="P13" s="36" t="s">
        <v>125</v>
      </c>
      <c r="Q13" s="179" t="s">
        <v>126</v>
      </c>
      <c r="R13" s="179"/>
      <c r="S13" s="130"/>
      <c r="T13" s="141"/>
    </row>
    <row r="14" spans="2:21" ht="28.8" x14ac:dyDescent="0.3">
      <c r="B14" s="26"/>
      <c r="C14" s="36"/>
      <c r="D14" s="27" t="s">
        <v>5</v>
      </c>
      <c r="E14" s="27" t="s">
        <v>127</v>
      </c>
      <c r="F14" s="46">
        <v>0</v>
      </c>
      <c r="H14" s="26"/>
      <c r="I14" s="36"/>
      <c r="J14" s="27" t="s">
        <v>5</v>
      </c>
      <c r="K14" s="27" t="s">
        <v>127</v>
      </c>
      <c r="L14" s="130">
        <v>0</v>
      </c>
      <c r="M14" s="46">
        <f t="shared" ref="M14:M17" si="2">L14-F14</f>
        <v>0</v>
      </c>
      <c r="O14" s="26"/>
      <c r="P14" s="36"/>
      <c r="Q14" s="27" t="s">
        <v>5</v>
      </c>
      <c r="R14" s="27" t="s">
        <v>127</v>
      </c>
      <c r="S14" s="130">
        <v>0</v>
      </c>
      <c r="T14" s="141">
        <f t="shared" ref="T14:T17" si="3">S14-L14</f>
        <v>0</v>
      </c>
    </row>
    <row r="15" spans="2:21" x14ac:dyDescent="0.3">
      <c r="B15" s="26"/>
      <c r="C15" s="36"/>
      <c r="D15" s="27" t="s">
        <v>7</v>
      </c>
      <c r="E15" s="27" t="s">
        <v>128</v>
      </c>
      <c r="F15" s="46">
        <v>0</v>
      </c>
      <c r="H15" s="26"/>
      <c r="I15" s="36"/>
      <c r="J15" s="27" t="s">
        <v>7</v>
      </c>
      <c r="K15" s="27" t="s">
        <v>128</v>
      </c>
      <c r="L15" s="130">
        <v>0</v>
      </c>
      <c r="M15" s="46">
        <f t="shared" si="2"/>
        <v>0</v>
      </c>
      <c r="O15" s="26"/>
      <c r="P15" s="36"/>
      <c r="Q15" s="27" t="s">
        <v>7</v>
      </c>
      <c r="R15" s="27" t="s">
        <v>128</v>
      </c>
      <c r="S15" s="130">
        <v>0</v>
      </c>
      <c r="T15" s="141">
        <f t="shared" si="3"/>
        <v>0</v>
      </c>
    </row>
    <row r="16" spans="2:21" x14ac:dyDescent="0.3">
      <c r="B16" s="26"/>
      <c r="C16" s="36"/>
      <c r="D16" s="27" t="s">
        <v>8</v>
      </c>
      <c r="E16" s="27" t="s">
        <v>129</v>
      </c>
      <c r="F16" s="46">
        <f>'Abschreibungen Anlagevermögen'!G10-'Abschreibungen Anlagevermögen'!I10</f>
        <v>170861</v>
      </c>
      <c r="H16" s="26"/>
      <c r="I16" s="36"/>
      <c r="J16" s="27" t="s">
        <v>8</v>
      </c>
      <c r="K16" s="27" t="s">
        <v>129</v>
      </c>
      <c r="L16" s="130">
        <f>F16-'Abschreibungen Anlagevermögen'!$I$10</f>
        <v>131802</v>
      </c>
      <c r="M16" s="46">
        <f t="shared" si="2"/>
        <v>-39059</v>
      </c>
      <c r="O16" s="26"/>
      <c r="P16" s="36"/>
      <c r="Q16" s="27" t="s">
        <v>8</v>
      </c>
      <c r="R16" s="27" t="s">
        <v>129</v>
      </c>
      <c r="S16" s="130">
        <f>L16-'Abschreibungen Anlagevermögen'!$I$10</f>
        <v>92743</v>
      </c>
      <c r="T16" s="141">
        <f t="shared" si="3"/>
        <v>-39059</v>
      </c>
    </row>
    <row r="17" spans="2:20" x14ac:dyDescent="0.3">
      <c r="B17" s="26"/>
      <c r="C17" s="36"/>
      <c r="D17" s="27" t="s">
        <v>9</v>
      </c>
      <c r="E17" s="27" t="s">
        <v>130</v>
      </c>
      <c r="F17" s="46">
        <v>0</v>
      </c>
      <c r="H17" s="26"/>
      <c r="I17" s="36"/>
      <c r="J17" s="27" t="s">
        <v>9</v>
      </c>
      <c r="K17" s="27" t="s">
        <v>130</v>
      </c>
      <c r="L17" s="130">
        <v>0</v>
      </c>
      <c r="M17" s="46">
        <f t="shared" si="2"/>
        <v>0</v>
      </c>
      <c r="O17" s="26"/>
      <c r="P17" s="36"/>
      <c r="Q17" s="27" t="s">
        <v>9</v>
      </c>
      <c r="R17" s="27" t="s">
        <v>130</v>
      </c>
      <c r="S17" s="130">
        <v>0</v>
      </c>
      <c r="T17" s="141">
        <f t="shared" si="3"/>
        <v>0</v>
      </c>
    </row>
    <row r="18" spans="2:20" ht="14.25" customHeight="1" x14ac:dyDescent="0.3">
      <c r="B18" s="26"/>
      <c r="C18" s="53" t="s">
        <v>131</v>
      </c>
      <c r="D18" s="176" t="s">
        <v>132</v>
      </c>
      <c r="E18" s="176"/>
      <c r="F18" s="51"/>
      <c r="H18" s="26"/>
      <c r="I18" s="36" t="s">
        <v>131</v>
      </c>
      <c r="J18" s="180" t="s">
        <v>132</v>
      </c>
      <c r="K18" s="180"/>
      <c r="L18" s="130"/>
      <c r="M18" s="46"/>
      <c r="O18" s="26"/>
      <c r="P18" s="36" t="s">
        <v>131</v>
      </c>
      <c r="Q18" s="180" t="s">
        <v>132</v>
      </c>
      <c r="R18" s="180"/>
      <c r="S18" s="130"/>
      <c r="T18" s="141"/>
    </row>
    <row r="19" spans="2:20" x14ac:dyDescent="0.3">
      <c r="B19" s="26"/>
      <c r="C19" s="36"/>
      <c r="D19" s="27" t="s">
        <v>5</v>
      </c>
      <c r="E19" s="27" t="s">
        <v>133</v>
      </c>
      <c r="F19" s="46">
        <v>0</v>
      </c>
      <c r="H19" s="26"/>
      <c r="I19" s="36"/>
      <c r="J19" s="27" t="s">
        <v>5</v>
      </c>
      <c r="K19" s="27" t="s">
        <v>133</v>
      </c>
      <c r="L19" s="130">
        <v>0</v>
      </c>
      <c r="M19" s="46">
        <f t="shared" ref="M19:M24" si="4">L19-F19</f>
        <v>0</v>
      </c>
      <c r="O19" s="26"/>
      <c r="P19" s="36"/>
      <c r="Q19" s="27" t="s">
        <v>5</v>
      </c>
      <c r="R19" s="27" t="s">
        <v>133</v>
      </c>
      <c r="S19" s="130">
        <v>0</v>
      </c>
      <c r="T19" s="141">
        <f t="shared" ref="T19:T24" si="5">S19-L19</f>
        <v>0</v>
      </c>
    </row>
    <row r="20" spans="2:20" x14ac:dyDescent="0.3">
      <c r="B20" s="26"/>
      <c r="C20" s="36"/>
      <c r="D20" s="27" t="s">
        <v>7</v>
      </c>
      <c r="E20" s="27" t="s">
        <v>134</v>
      </c>
      <c r="F20" s="46">
        <v>0</v>
      </c>
      <c r="H20" s="26"/>
      <c r="I20" s="36"/>
      <c r="J20" s="27" t="s">
        <v>7</v>
      </c>
      <c r="K20" s="27" t="s">
        <v>134</v>
      </c>
      <c r="L20" s="130">
        <v>0</v>
      </c>
      <c r="M20" s="46">
        <f t="shared" si="4"/>
        <v>0</v>
      </c>
      <c r="O20" s="26"/>
      <c r="P20" s="36"/>
      <c r="Q20" s="27" t="s">
        <v>7</v>
      </c>
      <c r="R20" s="27" t="s">
        <v>134</v>
      </c>
      <c r="S20" s="130">
        <v>0</v>
      </c>
      <c r="T20" s="141">
        <f t="shared" si="5"/>
        <v>0</v>
      </c>
    </row>
    <row r="21" spans="2:20" x14ac:dyDescent="0.3">
      <c r="B21" s="26"/>
      <c r="C21" s="36"/>
      <c r="D21" s="27" t="s">
        <v>8</v>
      </c>
      <c r="E21" s="27" t="s">
        <v>135</v>
      </c>
      <c r="F21" s="46">
        <v>0</v>
      </c>
      <c r="H21" s="26"/>
      <c r="I21" s="36"/>
      <c r="J21" s="27" t="s">
        <v>8</v>
      </c>
      <c r="K21" s="27" t="s">
        <v>135</v>
      </c>
      <c r="L21" s="130">
        <v>0</v>
      </c>
      <c r="M21" s="46">
        <f t="shared" si="4"/>
        <v>0</v>
      </c>
      <c r="O21" s="26"/>
      <c r="P21" s="36"/>
      <c r="Q21" s="27" t="s">
        <v>8</v>
      </c>
      <c r="R21" s="27" t="s">
        <v>135</v>
      </c>
      <c r="S21" s="130">
        <v>0</v>
      </c>
      <c r="T21" s="141">
        <f t="shared" si="5"/>
        <v>0</v>
      </c>
    </row>
    <row r="22" spans="2:20" ht="28.8" x14ac:dyDescent="0.3">
      <c r="B22" s="26"/>
      <c r="C22" s="36"/>
      <c r="D22" s="27" t="s">
        <v>9</v>
      </c>
      <c r="E22" s="27" t="s">
        <v>136</v>
      </c>
      <c r="F22" s="46">
        <v>0</v>
      </c>
      <c r="H22" s="26"/>
      <c r="I22" s="36"/>
      <c r="J22" s="27" t="s">
        <v>9</v>
      </c>
      <c r="K22" s="27" t="s">
        <v>136</v>
      </c>
      <c r="L22" s="130">
        <v>0</v>
      </c>
      <c r="M22" s="46">
        <f t="shared" si="4"/>
        <v>0</v>
      </c>
      <c r="O22" s="26"/>
      <c r="P22" s="36"/>
      <c r="Q22" s="27" t="s">
        <v>9</v>
      </c>
      <c r="R22" s="27" t="s">
        <v>136</v>
      </c>
      <c r="S22" s="130">
        <v>0</v>
      </c>
      <c r="T22" s="141">
        <f t="shared" si="5"/>
        <v>0</v>
      </c>
    </row>
    <row r="23" spans="2:20" x14ac:dyDescent="0.3">
      <c r="B23" s="26"/>
      <c r="C23" s="36"/>
      <c r="D23" s="27" t="s">
        <v>10</v>
      </c>
      <c r="E23" s="27" t="s">
        <v>137</v>
      </c>
      <c r="F23" s="46">
        <v>0</v>
      </c>
      <c r="H23" s="26"/>
      <c r="I23" s="36"/>
      <c r="J23" s="27" t="s">
        <v>10</v>
      </c>
      <c r="K23" s="27" t="s">
        <v>137</v>
      </c>
      <c r="L23" s="130">
        <v>0</v>
      </c>
      <c r="M23" s="46">
        <f t="shared" si="4"/>
        <v>0</v>
      </c>
      <c r="O23" s="26"/>
      <c r="P23" s="36"/>
      <c r="Q23" s="27" t="s">
        <v>10</v>
      </c>
      <c r="R23" s="27" t="s">
        <v>137</v>
      </c>
      <c r="S23" s="130">
        <v>0</v>
      </c>
      <c r="T23" s="141">
        <f t="shared" si="5"/>
        <v>0</v>
      </c>
    </row>
    <row r="24" spans="2:20" x14ac:dyDescent="0.3">
      <c r="B24" s="26"/>
      <c r="C24" s="36"/>
      <c r="D24" s="27" t="s">
        <v>23</v>
      </c>
      <c r="E24" s="27" t="s">
        <v>138</v>
      </c>
      <c r="F24" s="46">
        <v>0</v>
      </c>
      <c r="H24" s="26"/>
      <c r="I24" s="36"/>
      <c r="J24" s="27" t="s">
        <v>23</v>
      </c>
      <c r="K24" s="27" t="s">
        <v>138</v>
      </c>
      <c r="L24" s="130">
        <v>0</v>
      </c>
      <c r="M24" s="46">
        <f t="shared" si="4"/>
        <v>0</v>
      </c>
      <c r="O24" s="26"/>
      <c r="P24" s="36"/>
      <c r="Q24" s="27" t="s">
        <v>23</v>
      </c>
      <c r="R24" s="27" t="s">
        <v>138</v>
      </c>
      <c r="S24" s="130">
        <v>0</v>
      </c>
      <c r="T24" s="141">
        <f t="shared" si="5"/>
        <v>0</v>
      </c>
    </row>
    <row r="25" spans="2:20" x14ac:dyDescent="0.3">
      <c r="B25" s="23"/>
      <c r="C25" s="35"/>
      <c r="D25" s="24"/>
      <c r="E25" s="24"/>
      <c r="F25" s="46"/>
      <c r="H25" s="23"/>
      <c r="I25" s="35"/>
      <c r="J25" s="24"/>
      <c r="K25" s="24"/>
      <c r="L25" s="131"/>
      <c r="M25" s="46"/>
      <c r="O25" s="23"/>
      <c r="P25" s="35"/>
      <c r="Q25" s="24"/>
      <c r="R25" s="24"/>
      <c r="S25" s="131"/>
      <c r="T25" s="141"/>
    </row>
    <row r="26" spans="2:20" x14ac:dyDescent="0.3">
      <c r="B26" s="177" t="s">
        <v>139</v>
      </c>
      <c r="C26" s="178"/>
      <c r="D26" s="178"/>
      <c r="E26" s="178"/>
      <c r="F26" s="51"/>
      <c r="H26" s="181" t="s">
        <v>139</v>
      </c>
      <c r="I26" s="175"/>
      <c r="J26" s="175"/>
      <c r="K26" s="175"/>
      <c r="L26" s="131"/>
      <c r="M26" s="46"/>
      <c r="O26" s="181" t="s">
        <v>139</v>
      </c>
      <c r="P26" s="175"/>
      <c r="Q26" s="175"/>
      <c r="R26" s="175"/>
      <c r="S26" s="131"/>
      <c r="T26" s="141"/>
    </row>
    <row r="27" spans="2:20" x14ac:dyDescent="0.3">
      <c r="B27" s="23"/>
      <c r="C27" s="35"/>
      <c r="D27" s="24"/>
      <c r="E27" s="24"/>
      <c r="F27" s="46"/>
      <c r="H27" s="23"/>
      <c r="I27" s="35"/>
      <c r="J27" s="24"/>
      <c r="K27" s="24"/>
      <c r="L27" s="131"/>
      <c r="M27" s="46"/>
      <c r="O27" s="23"/>
      <c r="P27" s="35"/>
      <c r="Q27" s="24"/>
      <c r="R27" s="24"/>
      <c r="S27" s="131"/>
      <c r="T27" s="141"/>
    </row>
    <row r="28" spans="2:20" ht="14.25" customHeight="1" x14ac:dyDescent="0.3">
      <c r="B28" s="26"/>
      <c r="C28" s="53" t="s">
        <v>119</v>
      </c>
      <c r="D28" s="186" t="s">
        <v>140</v>
      </c>
      <c r="E28" s="186"/>
      <c r="F28" s="51"/>
      <c r="H28" s="26"/>
      <c r="I28" s="36" t="s">
        <v>119</v>
      </c>
      <c r="J28" s="179" t="s">
        <v>140</v>
      </c>
      <c r="K28" s="179"/>
      <c r="L28" s="130"/>
      <c r="M28" s="46"/>
      <c r="O28" s="26"/>
      <c r="P28" s="36" t="s">
        <v>119</v>
      </c>
      <c r="Q28" s="179" t="s">
        <v>140</v>
      </c>
      <c r="R28" s="179"/>
      <c r="S28" s="130"/>
      <c r="T28" s="141"/>
    </row>
    <row r="29" spans="2:20" x14ac:dyDescent="0.3">
      <c r="B29" s="26"/>
      <c r="C29" s="36"/>
      <c r="D29" s="27" t="s">
        <v>5</v>
      </c>
      <c r="E29" s="27" t="s">
        <v>141</v>
      </c>
      <c r="F29" s="46">
        <v>0</v>
      </c>
      <c r="H29" s="26"/>
      <c r="I29" s="36"/>
      <c r="J29" s="27" t="s">
        <v>5</v>
      </c>
      <c r="K29" s="27" t="s">
        <v>141</v>
      </c>
      <c r="L29" s="130">
        <v>0</v>
      </c>
      <c r="M29" s="46">
        <f t="shared" ref="M29:M32" si="6">L29-F29</f>
        <v>0</v>
      </c>
      <c r="O29" s="26"/>
      <c r="P29" s="36"/>
      <c r="Q29" s="36" t="s">
        <v>5</v>
      </c>
      <c r="R29" s="27" t="s">
        <v>141</v>
      </c>
      <c r="S29" s="130">
        <v>0</v>
      </c>
      <c r="T29" s="141">
        <f t="shared" ref="T29:T32" si="7">S29-L29</f>
        <v>0</v>
      </c>
    </row>
    <row r="30" spans="2:20" x14ac:dyDescent="0.3">
      <c r="B30" s="26"/>
      <c r="C30" s="36"/>
      <c r="D30" s="27" t="s">
        <v>7</v>
      </c>
      <c r="E30" s="27" t="s">
        <v>142</v>
      </c>
      <c r="F30" s="46">
        <v>0</v>
      </c>
      <c r="H30" s="26"/>
      <c r="I30" s="36"/>
      <c r="J30" s="27" t="s">
        <v>7</v>
      </c>
      <c r="K30" s="27" t="s">
        <v>142</v>
      </c>
      <c r="L30" s="130">
        <v>0</v>
      </c>
      <c r="M30" s="46">
        <f t="shared" si="6"/>
        <v>0</v>
      </c>
      <c r="O30" s="26"/>
      <c r="P30" s="36"/>
      <c r="Q30" s="36" t="s">
        <v>7</v>
      </c>
      <c r="R30" s="27" t="s">
        <v>142</v>
      </c>
      <c r="S30" s="130">
        <v>0</v>
      </c>
      <c r="T30" s="141">
        <f t="shared" si="7"/>
        <v>0</v>
      </c>
    </row>
    <row r="31" spans="2:20" x14ac:dyDescent="0.3">
      <c r="B31" s="26"/>
      <c r="C31" s="36"/>
      <c r="D31" s="27" t="s">
        <v>8</v>
      </c>
      <c r="E31" s="27" t="s">
        <v>143</v>
      </c>
      <c r="F31" s="46">
        <v>0</v>
      </c>
      <c r="H31" s="26"/>
      <c r="I31" s="36"/>
      <c r="J31" s="27" t="s">
        <v>8</v>
      </c>
      <c r="K31" s="27" t="s">
        <v>143</v>
      </c>
      <c r="L31" s="130">
        <v>0</v>
      </c>
      <c r="M31" s="46">
        <f t="shared" si="6"/>
        <v>0</v>
      </c>
      <c r="O31" s="26"/>
      <c r="P31" s="36"/>
      <c r="Q31" s="36" t="s">
        <v>8</v>
      </c>
      <c r="R31" s="27" t="s">
        <v>143</v>
      </c>
      <c r="S31" s="130">
        <v>0</v>
      </c>
      <c r="T31" s="141">
        <f t="shared" si="7"/>
        <v>0</v>
      </c>
    </row>
    <row r="32" spans="2:20" x14ac:dyDescent="0.3">
      <c r="B32" s="26"/>
      <c r="C32" s="36"/>
      <c r="D32" s="27" t="s">
        <v>9</v>
      </c>
      <c r="E32" s="27" t="s">
        <v>124</v>
      </c>
      <c r="F32" s="46">
        <v>0</v>
      </c>
      <c r="H32" s="26"/>
      <c r="I32" s="36"/>
      <c r="J32" s="27" t="s">
        <v>9</v>
      </c>
      <c r="K32" s="27" t="s">
        <v>124</v>
      </c>
      <c r="L32" s="130">
        <v>0</v>
      </c>
      <c r="M32" s="46">
        <f t="shared" si="6"/>
        <v>0</v>
      </c>
      <c r="O32" s="26"/>
      <c r="P32" s="36"/>
      <c r="Q32" s="36" t="s">
        <v>9</v>
      </c>
      <c r="R32" s="27" t="s">
        <v>124</v>
      </c>
      <c r="S32" s="130">
        <v>0</v>
      </c>
      <c r="T32" s="141">
        <f t="shared" si="7"/>
        <v>0</v>
      </c>
    </row>
    <row r="33" spans="2:20" ht="14.25" customHeight="1" x14ac:dyDescent="0.3">
      <c r="B33" s="26"/>
      <c r="C33" s="53" t="s">
        <v>125</v>
      </c>
      <c r="D33" s="186" t="s">
        <v>144</v>
      </c>
      <c r="E33" s="186"/>
      <c r="F33" s="51"/>
      <c r="H33" s="26"/>
      <c r="I33" s="36" t="s">
        <v>125</v>
      </c>
      <c r="J33" s="179" t="s">
        <v>144</v>
      </c>
      <c r="K33" s="179"/>
      <c r="L33" s="130"/>
      <c r="M33" s="46"/>
      <c r="O33" s="26"/>
      <c r="P33" s="36" t="s">
        <v>125</v>
      </c>
      <c r="Q33" s="179" t="s">
        <v>144</v>
      </c>
      <c r="R33" s="179"/>
      <c r="S33" s="130"/>
      <c r="T33" s="141"/>
    </row>
    <row r="34" spans="2:20" x14ac:dyDescent="0.3">
      <c r="B34" s="26"/>
      <c r="C34" s="36"/>
      <c r="D34" s="27" t="s">
        <v>5</v>
      </c>
      <c r="E34" s="27" t="s">
        <v>145</v>
      </c>
      <c r="F34" s="46"/>
      <c r="H34" s="26"/>
      <c r="I34" s="36"/>
      <c r="J34" s="27" t="s">
        <v>5</v>
      </c>
      <c r="K34" s="27" t="s">
        <v>145</v>
      </c>
      <c r="L34" s="130">
        <v>0</v>
      </c>
      <c r="M34" s="46">
        <f t="shared" ref="M34:M37" si="8">L34-F34</f>
        <v>0</v>
      </c>
      <c r="O34" s="26"/>
      <c r="P34" s="36"/>
      <c r="Q34" s="36" t="s">
        <v>5</v>
      </c>
      <c r="R34" s="27" t="s">
        <v>145</v>
      </c>
      <c r="S34" s="130">
        <v>0</v>
      </c>
      <c r="T34" s="141">
        <f t="shared" ref="T34:T37" si="9">S34-L34</f>
        <v>0</v>
      </c>
    </row>
    <row r="35" spans="2:20" ht="14.25" customHeight="1" x14ac:dyDescent="0.3">
      <c r="B35" s="26"/>
      <c r="C35" s="36"/>
      <c r="D35" s="27" t="s">
        <v>7</v>
      </c>
      <c r="E35" s="27" t="s">
        <v>146</v>
      </c>
      <c r="F35" s="46">
        <v>0</v>
      </c>
      <c r="H35" s="26"/>
      <c r="I35" s="36"/>
      <c r="J35" s="27" t="s">
        <v>7</v>
      </c>
      <c r="K35" s="27" t="s">
        <v>146</v>
      </c>
      <c r="L35" s="130">
        <v>0</v>
      </c>
      <c r="M35" s="46">
        <f t="shared" si="8"/>
        <v>0</v>
      </c>
      <c r="O35" s="26"/>
      <c r="P35" s="36"/>
      <c r="Q35" s="36" t="s">
        <v>7</v>
      </c>
      <c r="R35" s="27" t="s">
        <v>146</v>
      </c>
      <c r="S35" s="130">
        <v>0</v>
      </c>
      <c r="T35" s="141">
        <f t="shared" si="9"/>
        <v>0</v>
      </c>
    </row>
    <row r="36" spans="2:20" ht="28.8" x14ac:dyDescent="0.3">
      <c r="B36" s="26"/>
      <c r="C36" s="36"/>
      <c r="D36" s="27" t="s">
        <v>8</v>
      </c>
      <c r="E36" s="27" t="s">
        <v>147</v>
      </c>
      <c r="F36" s="46">
        <v>0</v>
      </c>
      <c r="H36" s="26"/>
      <c r="I36" s="36"/>
      <c r="J36" s="27" t="s">
        <v>8</v>
      </c>
      <c r="K36" s="27" t="s">
        <v>147</v>
      </c>
      <c r="L36" s="130">
        <v>0</v>
      </c>
      <c r="M36" s="46">
        <f t="shared" si="8"/>
        <v>0</v>
      </c>
      <c r="O36" s="26"/>
      <c r="P36" s="36"/>
      <c r="Q36" s="36" t="s">
        <v>8</v>
      </c>
      <c r="R36" s="27" t="s">
        <v>147</v>
      </c>
      <c r="S36" s="130">
        <v>0</v>
      </c>
      <c r="T36" s="141">
        <f t="shared" si="9"/>
        <v>0</v>
      </c>
    </row>
    <row r="37" spans="2:20" x14ac:dyDescent="0.3">
      <c r="B37" s="26"/>
      <c r="C37" s="36"/>
      <c r="D37" s="27" t="s">
        <v>9</v>
      </c>
      <c r="E37" s="27" t="s">
        <v>148</v>
      </c>
      <c r="F37" s="46"/>
      <c r="H37" s="26"/>
      <c r="I37" s="36"/>
      <c r="J37" s="27" t="s">
        <v>9</v>
      </c>
      <c r="K37" s="27" t="s">
        <v>148</v>
      </c>
      <c r="L37" s="130">
        <v>0</v>
      </c>
      <c r="M37" s="46">
        <f t="shared" si="8"/>
        <v>0</v>
      </c>
      <c r="O37" s="26"/>
      <c r="P37" s="36"/>
      <c r="Q37" s="36" t="s">
        <v>9</v>
      </c>
      <c r="R37" s="27" t="s">
        <v>148</v>
      </c>
      <c r="S37" s="130">
        <v>0</v>
      </c>
      <c r="T37" s="141">
        <f t="shared" si="9"/>
        <v>0</v>
      </c>
    </row>
    <row r="38" spans="2:20" ht="14.25" customHeight="1" x14ac:dyDescent="0.3">
      <c r="B38" s="26"/>
      <c r="C38" s="53" t="s">
        <v>131</v>
      </c>
      <c r="D38" s="186" t="s">
        <v>149</v>
      </c>
      <c r="E38" s="186"/>
      <c r="F38" s="51"/>
      <c r="H38" s="26"/>
      <c r="I38" s="36" t="s">
        <v>131</v>
      </c>
      <c r="J38" s="179" t="s">
        <v>149</v>
      </c>
      <c r="K38" s="179"/>
      <c r="L38" s="130"/>
      <c r="M38" s="46"/>
      <c r="O38" s="26"/>
      <c r="P38" s="36" t="s">
        <v>131</v>
      </c>
      <c r="Q38" s="179" t="s">
        <v>149</v>
      </c>
      <c r="R38" s="179"/>
      <c r="S38" s="130"/>
      <c r="T38" s="141"/>
    </row>
    <row r="39" spans="2:20" x14ac:dyDescent="0.3">
      <c r="B39" s="26"/>
      <c r="C39" s="36"/>
      <c r="D39" s="27" t="s">
        <v>5</v>
      </c>
      <c r="E39" s="27" t="s">
        <v>133</v>
      </c>
      <c r="F39" s="46">
        <v>0</v>
      </c>
      <c r="H39" s="26"/>
      <c r="I39" s="36"/>
      <c r="J39" s="27" t="s">
        <v>5</v>
      </c>
      <c r="K39" s="27" t="s">
        <v>133</v>
      </c>
      <c r="L39" s="130">
        <v>0</v>
      </c>
      <c r="M39" s="46">
        <f t="shared" ref="M39:M41" si="10">L39-F39</f>
        <v>0</v>
      </c>
      <c r="O39" s="26"/>
      <c r="P39" s="36"/>
      <c r="Q39" s="36" t="s">
        <v>5</v>
      </c>
      <c r="R39" s="27" t="s">
        <v>133</v>
      </c>
      <c r="S39" s="130">
        <v>0</v>
      </c>
      <c r="T39" s="141">
        <f t="shared" ref="T39:T41" si="11">S39-L39</f>
        <v>0</v>
      </c>
    </row>
    <row r="40" spans="2:20" x14ac:dyDescent="0.3">
      <c r="B40" s="26"/>
      <c r="C40" s="36"/>
      <c r="D40" s="27" t="s">
        <v>7</v>
      </c>
      <c r="E40" s="27" t="s">
        <v>150</v>
      </c>
      <c r="F40" s="46">
        <v>0</v>
      </c>
      <c r="H40" s="26"/>
      <c r="I40" s="36"/>
      <c r="J40" s="27" t="s">
        <v>7</v>
      </c>
      <c r="K40" s="27" t="s">
        <v>150</v>
      </c>
      <c r="L40" s="130">
        <v>0</v>
      </c>
      <c r="M40" s="46">
        <f t="shared" si="10"/>
        <v>0</v>
      </c>
      <c r="O40" s="26"/>
      <c r="P40" s="36"/>
      <c r="Q40" s="36" t="s">
        <v>7</v>
      </c>
      <c r="R40" s="27" t="s">
        <v>150</v>
      </c>
      <c r="S40" s="130">
        <v>0</v>
      </c>
      <c r="T40" s="141">
        <f t="shared" si="11"/>
        <v>0</v>
      </c>
    </row>
    <row r="41" spans="2:20" ht="31.2" customHeight="1" x14ac:dyDescent="0.3">
      <c r="B41" s="26"/>
      <c r="C41" s="53" t="s">
        <v>151</v>
      </c>
      <c r="D41" s="176" t="s">
        <v>182</v>
      </c>
      <c r="E41" s="176"/>
      <c r="F41" s="51">
        <f>Liquiditätsplan!O48-4</f>
        <v>69181.126050420178</v>
      </c>
      <c r="H41" s="26"/>
      <c r="I41" s="36" t="s">
        <v>151</v>
      </c>
      <c r="J41" s="180" t="s">
        <v>182</v>
      </c>
      <c r="K41" s="180"/>
      <c r="L41" s="130">
        <f>Liquiditätsplan!T48-4</f>
        <v>420296.50420168065</v>
      </c>
      <c r="M41" s="46">
        <f t="shared" si="10"/>
        <v>351115.37815126049</v>
      </c>
      <c r="O41" s="26"/>
      <c r="P41" s="36" t="s">
        <v>151</v>
      </c>
      <c r="Q41" s="180" t="s">
        <v>182</v>
      </c>
      <c r="R41" s="180"/>
      <c r="S41" s="130">
        <f>Liquiditätsplan!W48-4</f>
        <v>1082556.3387247901</v>
      </c>
      <c r="T41" s="141">
        <f t="shared" si="11"/>
        <v>662259.83452310949</v>
      </c>
    </row>
    <row r="42" spans="2:20" x14ac:dyDescent="0.3">
      <c r="B42" s="23"/>
      <c r="C42" s="35"/>
      <c r="D42" s="175"/>
      <c r="E42" s="175"/>
      <c r="F42" s="46"/>
      <c r="H42" s="23"/>
      <c r="I42" s="35"/>
      <c r="J42" s="175"/>
      <c r="K42" s="175"/>
      <c r="L42" s="131"/>
      <c r="M42" s="46"/>
      <c r="O42" s="23"/>
      <c r="P42" s="35"/>
      <c r="Q42" s="175"/>
      <c r="R42" s="175"/>
      <c r="S42" s="131"/>
      <c r="T42" s="141"/>
    </row>
    <row r="43" spans="2:20" x14ac:dyDescent="0.3">
      <c r="B43" s="177" t="s">
        <v>152</v>
      </c>
      <c r="C43" s="178"/>
      <c r="D43" s="178"/>
      <c r="E43" s="178"/>
      <c r="F43" s="51">
        <v>0</v>
      </c>
      <c r="H43" s="181" t="s">
        <v>152</v>
      </c>
      <c r="I43" s="175"/>
      <c r="J43" s="175"/>
      <c r="K43" s="175"/>
      <c r="L43" s="131">
        <v>0</v>
      </c>
      <c r="M43" s="46">
        <f>L43-F43</f>
        <v>0</v>
      </c>
      <c r="O43" s="181" t="s">
        <v>152</v>
      </c>
      <c r="P43" s="175"/>
      <c r="Q43" s="175"/>
      <c r="R43" s="175"/>
      <c r="S43" s="131">
        <v>0</v>
      </c>
      <c r="T43" s="141">
        <f t="shared" ref="T43" si="12">S43-L43</f>
        <v>0</v>
      </c>
    </row>
    <row r="44" spans="2:20" x14ac:dyDescent="0.3">
      <c r="B44" s="54"/>
      <c r="C44" s="55"/>
      <c r="D44" s="56"/>
      <c r="E44" s="56"/>
      <c r="F44" s="51"/>
      <c r="H44" s="23"/>
      <c r="I44" s="35"/>
      <c r="J44" s="24"/>
      <c r="K44" s="24"/>
      <c r="L44" s="131"/>
      <c r="M44" s="46"/>
      <c r="O44" s="23"/>
      <c r="P44" s="35"/>
      <c r="Q44" s="24"/>
      <c r="R44" s="24"/>
      <c r="S44" s="131"/>
      <c r="T44" s="141"/>
    </row>
    <row r="45" spans="2:20" x14ac:dyDescent="0.3">
      <c r="B45" s="177" t="s">
        <v>153</v>
      </c>
      <c r="C45" s="178"/>
      <c r="D45" s="178"/>
      <c r="E45" s="178"/>
      <c r="F45" s="51">
        <v>0</v>
      </c>
      <c r="H45" s="181" t="s">
        <v>153</v>
      </c>
      <c r="I45" s="175"/>
      <c r="J45" s="175"/>
      <c r="K45" s="175"/>
      <c r="L45" s="131">
        <v>0</v>
      </c>
      <c r="M45" s="46">
        <f>L45-F45</f>
        <v>0</v>
      </c>
      <c r="O45" s="181" t="s">
        <v>153</v>
      </c>
      <c r="P45" s="175"/>
      <c r="Q45" s="175"/>
      <c r="R45" s="175"/>
      <c r="S45" s="131">
        <v>0</v>
      </c>
      <c r="T45" s="141">
        <f t="shared" ref="T45" si="13">S45-L45</f>
        <v>0</v>
      </c>
    </row>
    <row r="46" spans="2:20" x14ac:dyDescent="0.3">
      <c r="B46" s="54"/>
      <c r="C46" s="55"/>
      <c r="D46" s="56"/>
      <c r="E46" s="56"/>
      <c r="F46" s="51"/>
      <c r="H46" s="23"/>
      <c r="I46" s="35"/>
      <c r="J46" s="24"/>
      <c r="K46" s="24"/>
      <c r="L46" s="131"/>
      <c r="M46" s="46"/>
      <c r="O46" s="23"/>
      <c r="P46" s="35"/>
      <c r="Q46" s="24"/>
      <c r="R46" s="24"/>
      <c r="S46" s="131"/>
      <c r="T46" s="141"/>
    </row>
    <row r="47" spans="2:20" x14ac:dyDescent="0.3">
      <c r="B47" s="177" t="s">
        <v>154</v>
      </c>
      <c r="C47" s="178"/>
      <c r="D47" s="178"/>
      <c r="E47" s="178"/>
      <c r="F47" s="51">
        <v>0</v>
      </c>
      <c r="H47" s="181" t="s">
        <v>154</v>
      </c>
      <c r="I47" s="175"/>
      <c r="J47" s="175"/>
      <c r="K47" s="175"/>
      <c r="L47" s="131">
        <v>0</v>
      </c>
      <c r="M47" s="46">
        <f>L47-F47</f>
        <v>0</v>
      </c>
      <c r="O47" s="181" t="s">
        <v>154</v>
      </c>
      <c r="P47" s="175"/>
      <c r="Q47" s="175"/>
      <c r="R47" s="175"/>
      <c r="S47" s="131">
        <v>0</v>
      </c>
      <c r="T47" s="141">
        <f t="shared" ref="T47" si="14">S47-L47</f>
        <v>0</v>
      </c>
    </row>
    <row r="48" spans="2:20" ht="15" thickBot="1" x14ac:dyDescent="0.35">
      <c r="B48" s="28"/>
      <c r="C48" s="35"/>
      <c r="D48" s="29"/>
      <c r="E48" s="29"/>
      <c r="F48" s="46"/>
      <c r="H48" s="28"/>
      <c r="I48" s="35"/>
      <c r="J48" s="29"/>
      <c r="K48" s="29"/>
      <c r="L48" s="129"/>
      <c r="M48" s="25"/>
      <c r="N48" s="84"/>
      <c r="O48" s="28"/>
      <c r="P48" s="35"/>
      <c r="Q48" s="29"/>
      <c r="R48" s="29"/>
      <c r="S48" s="29"/>
      <c r="T48" s="141"/>
    </row>
    <row r="49" spans="2:20" ht="15" thickBot="1" x14ac:dyDescent="0.35">
      <c r="B49" s="47" t="s">
        <v>183</v>
      </c>
      <c r="C49" s="48"/>
      <c r="D49" s="49"/>
      <c r="E49" s="49"/>
      <c r="F49" s="134">
        <f>SUM(F6:F48)</f>
        <v>240042.12605042016</v>
      </c>
      <c r="H49" s="47" t="s">
        <v>183</v>
      </c>
      <c r="I49" s="48"/>
      <c r="J49" s="49"/>
      <c r="K49" s="49"/>
      <c r="L49" s="132">
        <f>SUM(L8:L48)</f>
        <v>552098.50420168065</v>
      </c>
      <c r="M49" s="134">
        <f>SUM(M8:M48)</f>
        <v>312056.37815126049</v>
      </c>
      <c r="N49" s="84"/>
      <c r="O49" s="47" t="s">
        <v>183</v>
      </c>
      <c r="P49" s="48"/>
      <c r="Q49" s="49"/>
      <c r="R49" s="49"/>
      <c r="S49" s="132">
        <f>SUM(S8:S48)</f>
        <v>1175299.3387247901</v>
      </c>
      <c r="T49" s="142">
        <f>SUM(T8:T48)</f>
        <v>623200.83452310949</v>
      </c>
    </row>
    <row r="50" spans="2:20" ht="15" thickBot="1" x14ac:dyDescent="0.35">
      <c r="N50" s="84"/>
    </row>
    <row r="51" spans="2:20" ht="15" thickBot="1" x14ac:dyDescent="0.35">
      <c r="B51" s="171" t="s">
        <v>117</v>
      </c>
      <c r="C51" s="172"/>
      <c r="D51" s="172"/>
      <c r="E51" s="172"/>
      <c r="F51" s="173"/>
      <c r="H51" s="171" t="s">
        <v>117</v>
      </c>
      <c r="I51" s="172"/>
      <c r="J51" s="172"/>
      <c r="K51" s="172"/>
      <c r="L51" s="172"/>
      <c r="M51" s="173"/>
      <c r="O51" s="171" t="s">
        <v>117</v>
      </c>
      <c r="P51" s="172"/>
      <c r="Q51" s="172"/>
      <c r="R51" s="172"/>
      <c r="S51" s="172"/>
      <c r="T51" s="173"/>
    </row>
    <row r="52" spans="2:20" x14ac:dyDescent="0.3">
      <c r="B52" s="23"/>
      <c r="C52" s="35"/>
      <c r="D52" s="24"/>
      <c r="E52" s="24"/>
      <c r="F52" s="25"/>
      <c r="H52" s="23"/>
      <c r="I52" s="35"/>
      <c r="J52" s="24"/>
      <c r="K52" s="24"/>
      <c r="L52" s="129"/>
      <c r="M52" s="25"/>
      <c r="O52" s="23"/>
      <c r="P52" s="35"/>
      <c r="Q52" s="24"/>
      <c r="R52" s="24"/>
      <c r="S52" s="24"/>
      <c r="T52" s="140"/>
    </row>
    <row r="53" spans="2:20" x14ac:dyDescent="0.3">
      <c r="B53" s="58" t="s">
        <v>155</v>
      </c>
      <c r="C53" s="59"/>
      <c r="D53" s="60"/>
      <c r="E53" s="60"/>
      <c r="F53" s="51"/>
      <c r="H53" s="37" t="s">
        <v>155</v>
      </c>
      <c r="I53" s="38"/>
      <c r="J53" s="39"/>
      <c r="K53" s="39"/>
      <c r="L53" s="189" t="s">
        <v>187</v>
      </c>
      <c r="M53" s="182" t="s">
        <v>186</v>
      </c>
      <c r="O53" s="37" t="s">
        <v>155</v>
      </c>
      <c r="P53" s="38"/>
      <c r="Q53" s="39"/>
      <c r="R53" s="39"/>
      <c r="S53" s="189" t="s">
        <v>187</v>
      </c>
      <c r="T53" s="191" t="s">
        <v>186</v>
      </c>
    </row>
    <row r="54" spans="2:20" x14ac:dyDescent="0.3">
      <c r="B54" s="58"/>
      <c r="C54" s="59"/>
      <c r="D54" s="60"/>
      <c r="E54" s="60"/>
      <c r="F54" s="51"/>
      <c r="H54" s="37"/>
      <c r="I54" s="38"/>
      <c r="J54" s="39"/>
      <c r="K54" s="39"/>
      <c r="L54" s="190"/>
      <c r="M54" s="183"/>
      <c r="O54" s="37"/>
      <c r="P54" s="38"/>
      <c r="Q54" s="39"/>
      <c r="R54" s="39"/>
      <c r="S54" s="190"/>
      <c r="T54" s="192"/>
    </row>
    <row r="55" spans="2:20" ht="14.25" customHeight="1" x14ac:dyDescent="0.3">
      <c r="B55" s="61"/>
      <c r="C55" s="50" t="s">
        <v>119</v>
      </c>
      <c r="D55" s="174" t="s">
        <v>156</v>
      </c>
      <c r="E55" s="174"/>
      <c r="F55" s="51">
        <v>25000</v>
      </c>
      <c r="H55" s="40"/>
      <c r="I55" s="41" t="s">
        <v>119</v>
      </c>
      <c r="J55" s="193" t="s">
        <v>156</v>
      </c>
      <c r="K55" s="193"/>
      <c r="L55" s="130">
        <f>F55</f>
        <v>25000</v>
      </c>
      <c r="M55" s="46">
        <f t="shared" ref="M55:M63" si="15">L55-F55</f>
        <v>0</v>
      </c>
      <c r="O55" s="40"/>
      <c r="P55" s="41" t="s">
        <v>119</v>
      </c>
      <c r="Q55" s="193" t="s">
        <v>156</v>
      </c>
      <c r="R55" s="193"/>
      <c r="S55" s="130">
        <f>F55</f>
        <v>25000</v>
      </c>
      <c r="T55" s="141">
        <f>S55-L55</f>
        <v>0</v>
      </c>
    </row>
    <row r="56" spans="2:20" ht="14.25" customHeight="1" x14ac:dyDescent="0.3">
      <c r="B56" s="61"/>
      <c r="C56" s="50" t="s">
        <v>125</v>
      </c>
      <c r="D56" s="174" t="s">
        <v>157</v>
      </c>
      <c r="E56" s="174"/>
      <c r="F56" s="51">
        <f>Liquiditätsplan!D6-Bilanzen!F55</f>
        <v>135000</v>
      </c>
      <c r="H56" s="40"/>
      <c r="I56" s="41" t="s">
        <v>125</v>
      </c>
      <c r="J56" s="193" t="s">
        <v>157</v>
      </c>
      <c r="K56" s="193"/>
      <c r="L56" s="130">
        <f>F56</f>
        <v>135000</v>
      </c>
      <c r="M56" s="46">
        <f t="shared" si="15"/>
        <v>0</v>
      </c>
      <c r="O56" s="40"/>
      <c r="P56" s="41" t="s">
        <v>125</v>
      </c>
      <c r="Q56" s="193" t="s">
        <v>157</v>
      </c>
      <c r="R56" s="193"/>
      <c r="S56" s="130">
        <f>Liquiditätsplan!D6-Bilanzen!S55</f>
        <v>135000</v>
      </c>
      <c r="T56" s="141">
        <f t="shared" ref="T56:T63" si="16">S56-L56</f>
        <v>0</v>
      </c>
    </row>
    <row r="57" spans="2:20" ht="14.25" customHeight="1" x14ac:dyDescent="0.3">
      <c r="B57" s="61"/>
      <c r="C57" s="50" t="s">
        <v>131</v>
      </c>
      <c r="D57" s="174" t="s">
        <v>158</v>
      </c>
      <c r="E57" s="174"/>
      <c r="F57" s="51"/>
      <c r="H57" s="40"/>
      <c r="I57" s="41" t="s">
        <v>131</v>
      </c>
      <c r="J57" s="193" t="s">
        <v>158</v>
      </c>
      <c r="K57" s="193"/>
      <c r="L57" s="130">
        <v>0</v>
      </c>
      <c r="M57" s="46">
        <f t="shared" si="15"/>
        <v>0</v>
      </c>
      <c r="O57" s="40"/>
      <c r="P57" s="41" t="s">
        <v>131</v>
      </c>
      <c r="Q57" s="193" t="s">
        <v>158</v>
      </c>
      <c r="R57" s="193"/>
      <c r="S57" s="130">
        <v>0</v>
      </c>
      <c r="T57" s="141">
        <f t="shared" si="16"/>
        <v>0</v>
      </c>
    </row>
    <row r="58" spans="2:20" x14ac:dyDescent="0.3">
      <c r="B58" s="61"/>
      <c r="C58" s="50"/>
      <c r="D58" s="50" t="s">
        <v>5</v>
      </c>
      <c r="E58" s="52" t="s">
        <v>159</v>
      </c>
      <c r="F58" s="51">
        <v>0</v>
      </c>
      <c r="H58" s="40"/>
      <c r="I58" s="41"/>
      <c r="J58" s="41" t="s">
        <v>5</v>
      </c>
      <c r="K58" s="42" t="s">
        <v>159</v>
      </c>
      <c r="L58" s="130">
        <v>0</v>
      </c>
      <c r="M58" s="46">
        <f t="shared" si="15"/>
        <v>0</v>
      </c>
      <c r="N58" s="84"/>
      <c r="O58" s="40"/>
      <c r="P58" s="41"/>
      <c r="Q58" s="41" t="s">
        <v>5</v>
      </c>
      <c r="R58" s="42" t="s">
        <v>159</v>
      </c>
      <c r="S58" s="130">
        <v>0</v>
      </c>
      <c r="T58" s="141">
        <f t="shared" si="16"/>
        <v>0</v>
      </c>
    </row>
    <row r="59" spans="2:20" ht="28.8" x14ac:dyDescent="0.3">
      <c r="B59" s="61"/>
      <c r="C59" s="50"/>
      <c r="D59" s="50" t="s">
        <v>7</v>
      </c>
      <c r="E59" s="52" t="s">
        <v>160</v>
      </c>
      <c r="F59" s="51">
        <v>0</v>
      </c>
      <c r="H59" s="40"/>
      <c r="I59" s="41"/>
      <c r="J59" s="41" t="s">
        <v>7</v>
      </c>
      <c r="K59" s="42" t="s">
        <v>160</v>
      </c>
      <c r="L59" s="130">
        <v>0</v>
      </c>
      <c r="M59" s="46">
        <f t="shared" si="15"/>
        <v>0</v>
      </c>
      <c r="N59" s="84"/>
      <c r="O59" s="40"/>
      <c r="P59" s="41"/>
      <c r="Q59" s="41" t="s">
        <v>7</v>
      </c>
      <c r="R59" s="42" t="s">
        <v>160</v>
      </c>
      <c r="S59" s="130">
        <v>0</v>
      </c>
      <c r="T59" s="141">
        <f t="shared" si="16"/>
        <v>0</v>
      </c>
    </row>
    <row r="60" spans="2:20" x14ac:dyDescent="0.3">
      <c r="B60" s="61"/>
      <c r="C60" s="50"/>
      <c r="D60" s="50" t="s">
        <v>8</v>
      </c>
      <c r="E60" s="52" t="s">
        <v>161</v>
      </c>
      <c r="F60" s="51">
        <v>0</v>
      </c>
      <c r="H60" s="40"/>
      <c r="I60" s="41"/>
      <c r="J60" s="41" t="s">
        <v>8</v>
      </c>
      <c r="K60" s="42" t="s">
        <v>161</v>
      </c>
      <c r="L60" s="130">
        <v>0</v>
      </c>
      <c r="M60" s="46">
        <f t="shared" si="15"/>
        <v>0</v>
      </c>
      <c r="N60" s="84"/>
      <c r="O60" s="40"/>
      <c r="P60" s="41"/>
      <c r="Q60" s="41" t="s">
        <v>8</v>
      </c>
      <c r="R60" s="42" t="s">
        <v>161</v>
      </c>
      <c r="S60" s="130">
        <v>0</v>
      </c>
      <c r="T60" s="141">
        <f t="shared" si="16"/>
        <v>0</v>
      </c>
    </row>
    <row r="61" spans="2:20" x14ac:dyDescent="0.3">
      <c r="B61" s="61"/>
      <c r="C61" s="50"/>
      <c r="D61" s="50" t="s">
        <v>9</v>
      </c>
      <c r="E61" s="52" t="s">
        <v>162</v>
      </c>
      <c r="F61" s="51">
        <v>0</v>
      </c>
      <c r="H61" s="40"/>
      <c r="I61" s="41"/>
      <c r="J61" s="41" t="s">
        <v>9</v>
      </c>
      <c r="K61" s="42" t="s">
        <v>162</v>
      </c>
      <c r="L61" s="130">
        <v>0</v>
      </c>
      <c r="M61" s="46">
        <f t="shared" si="15"/>
        <v>0</v>
      </c>
      <c r="O61" s="40"/>
      <c r="P61" s="41"/>
      <c r="Q61" s="41" t="s">
        <v>9</v>
      </c>
      <c r="R61" s="42" t="s">
        <v>162</v>
      </c>
      <c r="S61" s="130">
        <v>0</v>
      </c>
      <c r="T61" s="141">
        <f t="shared" si="16"/>
        <v>0</v>
      </c>
    </row>
    <row r="62" spans="2:20" ht="14.25" customHeight="1" x14ac:dyDescent="0.3">
      <c r="B62" s="61"/>
      <c r="C62" s="50" t="s">
        <v>151</v>
      </c>
      <c r="D62" s="174" t="s">
        <v>163</v>
      </c>
      <c r="E62" s="174"/>
      <c r="F62" s="51">
        <v>0</v>
      </c>
      <c r="H62" s="40"/>
      <c r="I62" s="41" t="s">
        <v>151</v>
      </c>
      <c r="J62" s="193" t="s">
        <v>163</v>
      </c>
      <c r="K62" s="193"/>
      <c r="L62" s="130">
        <f>F63</f>
        <v>-120554.63025210088</v>
      </c>
      <c r="M62" s="46">
        <f t="shared" si="15"/>
        <v>-120554.63025210088</v>
      </c>
      <c r="O62" s="40"/>
      <c r="P62" s="41" t="s">
        <v>151</v>
      </c>
      <c r="Q62" s="193" t="s">
        <v>163</v>
      </c>
      <c r="R62" s="193"/>
      <c r="S62" s="130">
        <f>L62+L63</f>
        <v>104463.68326260487</v>
      </c>
      <c r="T62" s="141">
        <f t="shared" si="16"/>
        <v>225018.31351470575</v>
      </c>
    </row>
    <row r="63" spans="2:20" ht="14.25" customHeight="1" x14ac:dyDescent="0.3">
      <c r="B63" s="61"/>
      <c r="C63" s="50" t="s">
        <v>164</v>
      </c>
      <c r="D63" s="174" t="s">
        <v>188</v>
      </c>
      <c r="E63" s="174"/>
      <c r="F63" s="51">
        <f>'Gewinn- und Verlustrechnung'!D30</f>
        <v>-120554.63025210088</v>
      </c>
      <c r="H63" s="40"/>
      <c r="I63" s="41" t="s">
        <v>164</v>
      </c>
      <c r="J63" s="193" t="s">
        <v>188</v>
      </c>
      <c r="K63" s="193"/>
      <c r="L63" s="130">
        <f>'Gewinn- und Verlustrechnung'!E30</f>
        <v>225018.31351470575</v>
      </c>
      <c r="M63" s="46">
        <f t="shared" si="15"/>
        <v>345572.94376680662</v>
      </c>
      <c r="N63" s="84"/>
      <c r="O63" s="40"/>
      <c r="P63" s="41" t="s">
        <v>164</v>
      </c>
      <c r="Q63" s="193" t="s">
        <v>188</v>
      </c>
      <c r="R63" s="193"/>
      <c r="S63" s="130">
        <f>'Gewinn- und Verlustrechnung'!G30</f>
        <v>507249.89763235307</v>
      </c>
      <c r="T63" s="141">
        <f t="shared" si="16"/>
        <v>282231.58411764732</v>
      </c>
    </row>
    <row r="64" spans="2:20" x14ac:dyDescent="0.3">
      <c r="B64" s="58"/>
      <c r="C64" s="59"/>
      <c r="D64" s="60"/>
      <c r="E64" s="60"/>
      <c r="F64" s="51"/>
      <c r="H64" s="37"/>
      <c r="I64" s="38"/>
      <c r="J64" s="39"/>
      <c r="K64" s="39"/>
      <c r="L64" s="130"/>
      <c r="M64" s="46"/>
      <c r="O64" s="37"/>
      <c r="P64" s="38"/>
      <c r="Q64" s="39"/>
      <c r="R64" s="39"/>
      <c r="S64" s="130"/>
      <c r="T64" s="141"/>
    </row>
    <row r="65" spans="2:20" x14ac:dyDescent="0.3">
      <c r="B65" s="58" t="s">
        <v>165</v>
      </c>
      <c r="C65" s="59"/>
      <c r="D65" s="60"/>
      <c r="E65" s="60"/>
      <c r="F65" s="51"/>
      <c r="H65" s="37" t="s">
        <v>165</v>
      </c>
      <c r="I65" s="38"/>
      <c r="J65" s="39"/>
      <c r="K65" s="39"/>
      <c r="L65" s="130"/>
      <c r="M65" s="46"/>
      <c r="N65" s="84"/>
      <c r="O65" s="37" t="s">
        <v>165</v>
      </c>
      <c r="P65" s="38"/>
      <c r="Q65" s="39"/>
      <c r="R65" s="39"/>
      <c r="S65" s="130"/>
      <c r="T65" s="141"/>
    </row>
    <row r="66" spans="2:20" x14ac:dyDescent="0.3">
      <c r="B66" s="58"/>
      <c r="C66" s="59"/>
      <c r="D66" s="60"/>
      <c r="E66" s="60"/>
      <c r="F66" s="51"/>
      <c r="H66" s="37"/>
      <c r="I66" s="38"/>
      <c r="J66" s="39"/>
      <c r="K66" s="39"/>
      <c r="L66" s="130"/>
      <c r="M66" s="46"/>
      <c r="O66" s="37"/>
      <c r="P66" s="38"/>
      <c r="Q66" s="39"/>
      <c r="R66" s="39"/>
      <c r="S66" s="130"/>
      <c r="T66" s="141"/>
    </row>
    <row r="67" spans="2:20" x14ac:dyDescent="0.3">
      <c r="B67" s="61"/>
      <c r="C67" s="50" t="s">
        <v>5</v>
      </c>
      <c r="D67" s="166" t="s">
        <v>166</v>
      </c>
      <c r="E67" s="166"/>
      <c r="F67" s="51">
        <v>0</v>
      </c>
      <c r="H67" s="40"/>
      <c r="I67" s="41" t="s">
        <v>5</v>
      </c>
      <c r="J67" s="187" t="s">
        <v>166</v>
      </c>
      <c r="K67" s="187"/>
      <c r="L67" s="130">
        <v>0</v>
      </c>
      <c r="M67" s="46">
        <f t="shared" ref="M67:M69" si="17">L67-F67</f>
        <v>0</v>
      </c>
      <c r="O67" s="40"/>
      <c r="P67" s="41" t="s">
        <v>5</v>
      </c>
      <c r="Q67" s="187" t="s">
        <v>166</v>
      </c>
      <c r="R67" s="187"/>
      <c r="S67" s="130">
        <v>0</v>
      </c>
      <c r="T67" s="141">
        <f t="shared" ref="T67:T69" si="18">S67-L67</f>
        <v>0</v>
      </c>
    </row>
    <row r="68" spans="2:20" x14ac:dyDescent="0.3">
      <c r="B68" s="61"/>
      <c r="C68" s="50" t="s">
        <v>7</v>
      </c>
      <c r="D68" s="166" t="s">
        <v>167</v>
      </c>
      <c r="E68" s="166"/>
      <c r="F68" s="51">
        <f>((Liquiditätsplan!O7+Liquiditätsplan!O8)*19/119)-((Liquiditätsplan!O15+Liquiditätsplan!O20+Liquiditätsplan!O21+Liquiditätsplan!O22+Liquiditätsplan!O23+Liquiditätsplan!O24+Liquiditätsplan!O25+Liquiditätsplan!O26+Liquiditätsplan!O27+Liquiditätsplan!O30+Liquiditätsplan!O31+Liquiditätsplan!O32+Liquiditätsplan!O34+Liquiditätsplan!O38)*19/119)</f>
        <v>4596.722689075631</v>
      </c>
      <c r="H68" s="40"/>
      <c r="I68" s="41" t="s">
        <v>7</v>
      </c>
      <c r="J68" s="187" t="s">
        <v>167</v>
      </c>
      <c r="K68" s="187"/>
      <c r="L68" s="130">
        <f>'Gewinn- und Verlustrechnung'!E27</f>
        <v>95634.787325630197</v>
      </c>
      <c r="M68" s="46">
        <f t="shared" si="17"/>
        <v>91038.064636554569</v>
      </c>
      <c r="N68" s="84"/>
      <c r="O68" s="40"/>
      <c r="P68" s="41" t="s">
        <v>7</v>
      </c>
      <c r="Q68" s="187" t="s">
        <v>167</v>
      </c>
      <c r="R68" s="187"/>
      <c r="S68" s="130">
        <f>'Gewinn- und Verlustrechnung'!G27</f>
        <v>215585.72421638662</v>
      </c>
      <c r="T68" s="141">
        <f t="shared" si="18"/>
        <v>119950.93689075642</v>
      </c>
    </row>
    <row r="69" spans="2:20" x14ac:dyDescent="0.3">
      <c r="B69" s="61"/>
      <c r="C69" s="50" t="s">
        <v>8</v>
      </c>
      <c r="D69" s="166" t="s">
        <v>168</v>
      </c>
      <c r="E69" s="166"/>
      <c r="F69" s="51"/>
      <c r="H69" s="40"/>
      <c r="I69" s="41" t="s">
        <v>8</v>
      </c>
      <c r="J69" s="187" t="s">
        <v>168</v>
      </c>
      <c r="K69" s="187"/>
      <c r="L69" s="130">
        <v>0</v>
      </c>
      <c r="M69" s="46">
        <f t="shared" si="17"/>
        <v>0</v>
      </c>
      <c r="O69" s="40"/>
      <c r="P69" s="41" t="s">
        <v>8</v>
      </c>
      <c r="Q69" s="187" t="s">
        <v>168</v>
      </c>
      <c r="R69" s="187"/>
      <c r="S69" s="130">
        <v>0</v>
      </c>
      <c r="T69" s="141">
        <f t="shared" si="18"/>
        <v>0</v>
      </c>
    </row>
    <row r="70" spans="2:20" x14ac:dyDescent="0.3">
      <c r="B70" s="58"/>
      <c r="C70" s="59"/>
      <c r="D70" s="60"/>
      <c r="E70" s="60"/>
      <c r="F70" s="51"/>
      <c r="H70" s="37"/>
      <c r="I70" s="38"/>
      <c r="J70" s="39"/>
      <c r="K70" s="39"/>
      <c r="L70" s="130"/>
      <c r="M70" s="46"/>
      <c r="O70" s="37"/>
      <c r="P70" s="38"/>
      <c r="Q70" s="39"/>
      <c r="R70" s="39"/>
      <c r="S70" s="130"/>
      <c r="T70" s="141"/>
    </row>
    <row r="71" spans="2:20" x14ac:dyDescent="0.3">
      <c r="B71" s="58" t="s">
        <v>169</v>
      </c>
      <c r="C71" s="59"/>
      <c r="D71" s="60"/>
      <c r="E71" s="60"/>
      <c r="F71" s="51"/>
      <c r="H71" s="37" t="s">
        <v>169</v>
      </c>
      <c r="I71" s="38"/>
      <c r="J71" s="39"/>
      <c r="K71" s="39"/>
      <c r="L71" s="130"/>
      <c r="M71" s="46"/>
      <c r="O71" s="37" t="s">
        <v>169</v>
      </c>
      <c r="P71" s="38"/>
      <c r="Q71" s="39"/>
      <c r="R71" s="39"/>
      <c r="S71" s="130"/>
      <c r="T71" s="141"/>
    </row>
    <row r="72" spans="2:20" x14ac:dyDescent="0.3">
      <c r="B72" s="58"/>
      <c r="C72" s="59"/>
      <c r="D72" s="60"/>
      <c r="E72" s="60"/>
      <c r="F72" s="51"/>
      <c r="H72" s="37"/>
      <c r="I72" s="38"/>
      <c r="J72" s="39"/>
      <c r="K72" s="39"/>
      <c r="L72" s="131"/>
      <c r="M72" s="46"/>
      <c r="O72" s="37"/>
      <c r="P72" s="38"/>
      <c r="Q72" s="39"/>
      <c r="R72" s="39"/>
      <c r="S72" s="131"/>
      <c r="T72" s="141"/>
    </row>
    <row r="73" spans="2:20" x14ac:dyDescent="0.3">
      <c r="B73" s="167"/>
      <c r="C73" s="50" t="s">
        <v>5</v>
      </c>
      <c r="D73" s="166" t="s">
        <v>170</v>
      </c>
      <c r="E73" s="166"/>
      <c r="F73" s="51">
        <v>0</v>
      </c>
      <c r="H73" s="188"/>
      <c r="I73" s="41" t="s">
        <v>5</v>
      </c>
      <c r="J73" s="187" t="s">
        <v>170</v>
      </c>
      <c r="K73" s="187"/>
      <c r="L73" s="131"/>
      <c r="M73" s="46">
        <f t="shared" ref="M73:M83" si="19">L73-F73</f>
        <v>0</v>
      </c>
      <c r="O73" s="188"/>
      <c r="P73" s="41" t="s">
        <v>5</v>
      </c>
      <c r="Q73" s="187" t="s">
        <v>170</v>
      </c>
      <c r="R73" s="187"/>
      <c r="S73" s="131"/>
      <c r="T73" s="141">
        <f t="shared" ref="T73:T83" si="20">S73-L73</f>
        <v>0</v>
      </c>
    </row>
    <row r="74" spans="2:20" x14ac:dyDescent="0.3">
      <c r="B74" s="167"/>
      <c r="C74" s="52"/>
      <c r="D74" s="166" t="s">
        <v>171</v>
      </c>
      <c r="E74" s="166"/>
      <c r="F74" s="51"/>
      <c r="H74" s="188"/>
      <c r="I74" s="42"/>
      <c r="J74" s="187" t="s">
        <v>171</v>
      </c>
      <c r="K74" s="187"/>
      <c r="L74" s="131"/>
      <c r="M74" s="46">
        <f t="shared" si="19"/>
        <v>0</v>
      </c>
      <c r="O74" s="188"/>
      <c r="P74" s="42"/>
      <c r="Q74" s="187" t="s">
        <v>171</v>
      </c>
      <c r="R74" s="187"/>
      <c r="S74" s="131"/>
      <c r="T74" s="141">
        <f t="shared" si="20"/>
        <v>0</v>
      </c>
    </row>
    <row r="75" spans="2:20" x14ac:dyDescent="0.3">
      <c r="B75" s="61"/>
      <c r="C75" s="50" t="s">
        <v>7</v>
      </c>
      <c r="D75" s="166" t="s">
        <v>172</v>
      </c>
      <c r="E75" s="166"/>
      <c r="F75" s="51">
        <f>Liquiditätsplan!D11-Liquiditätsplan!P36</f>
        <v>196000</v>
      </c>
      <c r="H75" s="40"/>
      <c r="I75" s="41" t="s">
        <v>7</v>
      </c>
      <c r="J75" s="187" t="s">
        <v>172</v>
      </c>
      <c r="K75" s="187"/>
      <c r="L75" s="130">
        <f>F75-Liquiditätsplan!U36</f>
        <v>192000</v>
      </c>
      <c r="M75" s="46">
        <f t="shared" si="19"/>
        <v>-4000</v>
      </c>
      <c r="O75" s="40"/>
      <c r="P75" s="41" t="s">
        <v>7</v>
      </c>
      <c r="Q75" s="187" t="s">
        <v>172</v>
      </c>
      <c r="R75" s="187"/>
      <c r="S75" s="130">
        <f>L75+M75-Liquiditätsplan!AB36</f>
        <v>188000</v>
      </c>
      <c r="T75" s="141">
        <f t="shared" si="20"/>
        <v>-4000</v>
      </c>
    </row>
    <row r="76" spans="2:20" x14ac:dyDescent="0.3">
      <c r="B76" s="61"/>
      <c r="C76" s="50" t="s">
        <v>8</v>
      </c>
      <c r="D76" s="166" t="s">
        <v>173</v>
      </c>
      <c r="E76" s="166"/>
      <c r="F76" s="51">
        <v>0</v>
      </c>
      <c r="H76" s="40"/>
      <c r="I76" s="41" t="s">
        <v>8</v>
      </c>
      <c r="J76" s="187" t="s">
        <v>173</v>
      </c>
      <c r="K76" s="187"/>
      <c r="L76" s="130">
        <v>0</v>
      </c>
      <c r="M76" s="46">
        <f t="shared" si="19"/>
        <v>0</v>
      </c>
      <c r="O76" s="40"/>
      <c r="P76" s="41" t="s">
        <v>8</v>
      </c>
      <c r="Q76" s="187" t="s">
        <v>173</v>
      </c>
      <c r="R76" s="187"/>
      <c r="S76" s="130">
        <v>0</v>
      </c>
      <c r="T76" s="141">
        <f t="shared" si="20"/>
        <v>0</v>
      </c>
    </row>
    <row r="77" spans="2:20" x14ac:dyDescent="0.3">
      <c r="B77" s="61"/>
      <c r="C77" s="50" t="s">
        <v>9</v>
      </c>
      <c r="D77" s="166" t="s">
        <v>174</v>
      </c>
      <c r="E77" s="166"/>
      <c r="F77" s="51">
        <v>0</v>
      </c>
      <c r="H77" s="40"/>
      <c r="I77" s="41" t="s">
        <v>9</v>
      </c>
      <c r="J77" s="187" t="s">
        <v>174</v>
      </c>
      <c r="K77" s="187"/>
      <c r="L77" s="130">
        <v>0</v>
      </c>
      <c r="M77" s="46">
        <f t="shared" si="19"/>
        <v>0</v>
      </c>
      <c r="O77" s="40"/>
      <c r="P77" s="41" t="s">
        <v>9</v>
      </c>
      <c r="Q77" s="187" t="s">
        <v>174</v>
      </c>
      <c r="R77" s="187"/>
      <c r="S77" s="130">
        <v>0</v>
      </c>
      <c r="T77" s="141">
        <f t="shared" si="20"/>
        <v>0</v>
      </c>
    </row>
    <row r="78" spans="2:20" x14ac:dyDescent="0.3">
      <c r="B78" s="61"/>
      <c r="C78" s="50" t="s">
        <v>10</v>
      </c>
      <c r="D78" s="166" t="s">
        <v>175</v>
      </c>
      <c r="E78" s="166"/>
      <c r="F78" s="51">
        <v>0</v>
      </c>
      <c r="H78" s="40"/>
      <c r="I78" s="41" t="s">
        <v>10</v>
      </c>
      <c r="J78" s="187" t="s">
        <v>175</v>
      </c>
      <c r="K78" s="187"/>
      <c r="L78" s="130">
        <v>0</v>
      </c>
      <c r="M78" s="46">
        <f t="shared" si="19"/>
        <v>0</v>
      </c>
      <c r="O78" s="40"/>
      <c r="P78" s="41" t="s">
        <v>10</v>
      </c>
      <c r="Q78" s="187" t="s">
        <v>175</v>
      </c>
      <c r="R78" s="187"/>
      <c r="S78" s="130">
        <v>0</v>
      </c>
      <c r="T78" s="141">
        <f t="shared" si="20"/>
        <v>0</v>
      </c>
    </row>
    <row r="79" spans="2:20" x14ac:dyDescent="0.3">
      <c r="B79" s="61"/>
      <c r="C79" s="50" t="s">
        <v>23</v>
      </c>
      <c r="D79" s="166" t="s">
        <v>176</v>
      </c>
      <c r="E79" s="166"/>
      <c r="F79" s="51">
        <v>0</v>
      </c>
      <c r="H79" s="40"/>
      <c r="I79" s="41" t="s">
        <v>23</v>
      </c>
      <c r="J79" s="187" t="s">
        <v>176</v>
      </c>
      <c r="K79" s="187"/>
      <c r="L79" s="130">
        <v>0</v>
      </c>
      <c r="M79" s="46">
        <f t="shared" si="19"/>
        <v>0</v>
      </c>
      <c r="O79" s="40"/>
      <c r="P79" s="41" t="s">
        <v>23</v>
      </c>
      <c r="Q79" s="187" t="s">
        <v>176</v>
      </c>
      <c r="R79" s="187"/>
      <c r="S79" s="130">
        <v>0</v>
      </c>
      <c r="T79" s="141">
        <f t="shared" si="20"/>
        <v>0</v>
      </c>
    </row>
    <row r="80" spans="2:20" ht="28.2" customHeight="1" x14ac:dyDescent="0.3">
      <c r="B80" s="61"/>
      <c r="C80" s="50" t="s">
        <v>24</v>
      </c>
      <c r="D80" s="166" t="s">
        <v>184</v>
      </c>
      <c r="E80" s="166"/>
      <c r="F80" s="51">
        <v>0</v>
      </c>
      <c r="H80" s="40"/>
      <c r="I80" s="41" t="s">
        <v>24</v>
      </c>
      <c r="J80" s="187" t="s">
        <v>184</v>
      </c>
      <c r="K80" s="187"/>
      <c r="L80" s="130">
        <v>0</v>
      </c>
      <c r="M80" s="46">
        <f t="shared" si="19"/>
        <v>0</v>
      </c>
      <c r="O80" s="40"/>
      <c r="P80" s="41" t="s">
        <v>24</v>
      </c>
      <c r="Q80" s="187" t="s">
        <v>184</v>
      </c>
      <c r="R80" s="187"/>
      <c r="S80" s="130">
        <v>0</v>
      </c>
      <c r="T80" s="141">
        <f t="shared" si="20"/>
        <v>0</v>
      </c>
    </row>
    <row r="81" spans="2:20" x14ac:dyDescent="0.3">
      <c r="B81" s="167"/>
      <c r="C81" s="50" t="s">
        <v>25</v>
      </c>
      <c r="D81" s="166" t="s">
        <v>177</v>
      </c>
      <c r="E81" s="166"/>
      <c r="F81" s="51">
        <v>0</v>
      </c>
      <c r="H81" s="188"/>
      <c r="I81" s="41" t="s">
        <v>25</v>
      </c>
      <c r="J81" s="187" t="s">
        <v>177</v>
      </c>
      <c r="K81" s="187"/>
      <c r="L81" s="130">
        <v>0</v>
      </c>
      <c r="M81" s="46">
        <f t="shared" si="19"/>
        <v>0</v>
      </c>
      <c r="O81" s="188"/>
      <c r="P81" s="41" t="s">
        <v>25</v>
      </c>
      <c r="Q81" s="187" t="s">
        <v>177</v>
      </c>
      <c r="R81" s="187"/>
      <c r="S81" s="130">
        <v>0</v>
      </c>
      <c r="T81" s="141">
        <f t="shared" si="20"/>
        <v>0</v>
      </c>
    </row>
    <row r="82" spans="2:20" x14ac:dyDescent="0.3">
      <c r="B82" s="167"/>
      <c r="C82" s="50"/>
      <c r="D82" s="166" t="s">
        <v>178</v>
      </c>
      <c r="E82" s="166"/>
      <c r="F82" s="51">
        <v>0</v>
      </c>
      <c r="H82" s="188"/>
      <c r="I82" s="41"/>
      <c r="J82" s="187" t="s">
        <v>178</v>
      </c>
      <c r="K82" s="187"/>
      <c r="L82" s="130">
        <v>0</v>
      </c>
      <c r="M82" s="46">
        <f t="shared" si="19"/>
        <v>0</v>
      </c>
      <c r="O82" s="188"/>
      <c r="P82" s="41"/>
      <c r="Q82" s="187" t="s">
        <v>178</v>
      </c>
      <c r="R82" s="187"/>
      <c r="S82" s="130">
        <v>0</v>
      </c>
      <c r="T82" s="141">
        <f t="shared" si="20"/>
        <v>0</v>
      </c>
    </row>
    <row r="83" spans="2:20" x14ac:dyDescent="0.3">
      <c r="B83" s="167"/>
      <c r="C83" s="50"/>
      <c r="D83" s="166" t="s">
        <v>179</v>
      </c>
      <c r="E83" s="166"/>
      <c r="F83" s="51">
        <v>0</v>
      </c>
      <c r="H83" s="188"/>
      <c r="I83" s="41"/>
      <c r="J83" s="187" t="s">
        <v>179</v>
      </c>
      <c r="K83" s="187"/>
      <c r="L83" s="130">
        <v>0</v>
      </c>
      <c r="M83" s="46">
        <f t="shared" si="19"/>
        <v>0</v>
      </c>
      <c r="O83" s="188"/>
      <c r="P83" s="41"/>
      <c r="Q83" s="187" t="s">
        <v>179</v>
      </c>
      <c r="R83" s="187"/>
      <c r="S83" s="130">
        <v>0</v>
      </c>
      <c r="T83" s="141">
        <f t="shared" si="20"/>
        <v>0</v>
      </c>
    </row>
    <row r="84" spans="2:20" x14ac:dyDescent="0.3">
      <c r="B84" s="58"/>
      <c r="C84" s="59"/>
      <c r="D84" s="60"/>
      <c r="E84" s="60"/>
      <c r="F84" s="51"/>
      <c r="H84" s="37"/>
      <c r="I84" s="38"/>
      <c r="J84" s="39"/>
      <c r="K84" s="39"/>
      <c r="L84" s="130"/>
      <c r="M84" s="46"/>
      <c r="O84" s="37"/>
      <c r="P84" s="38"/>
      <c r="Q84" s="39"/>
      <c r="R84" s="39"/>
      <c r="S84" s="130"/>
      <c r="T84" s="141"/>
    </row>
    <row r="85" spans="2:20" x14ac:dyDescent="0.3">
      <c r="B85" s="58" t="s">
        <v>180</v>
      </c>
      <c r="C85" s="59"/>
      <c r="D85" s="60"/>
      <c r="E85" s="60"/>
      <c r="F85" s="51">
        <v>0</v>
      </c>
      <c r="H85" s="37" t="s">
        <v>180</v>
      </c>
      <c r="I85" s="38"/>
      <c r="J85" s="39"/>
      <c r="K85" s="39"/>
      <c r="L85" s="130">
        <v>0</v>
      </c>
      <c r="M85" s="46">
        <f>L85-F85</f>
        <v>0</v>
      </c>
      <c r="O85" s="37" t="s">
        <v>180</v>
      </c>
      <c r="P85" s="38"/>
      <c r="Q85" s="39"/>
      <c r="R85" s="39"/>
      <c r="S85" s="130">
        <v>0</v>
      </c>
      <c r="T85" s="141">
        <f>S85-L85</f>
        <v>0</v>
      </c>
    </row>
    <row r="86" spans="2:20" x14ac:dyDescent="0.3">
      <c r="B86" s="58"/>
      <c r="C86" s="59"/>
      <c r="D86" s="60"/>
      <c r="E86" s="60"/>
      <c r="F86" s="51"/>
      <c r="H86" s="37"/>
      <c r="I86" s="38"/>
      <c r="J86" s="39"/>
      <c r="K86" s="39"/>
      <c r="L86" s="130"/>
      <c r="M86" s="46"/>
      <c r="O86" s="37"/>
      <c r="P86" s="38"/>
      <c r="Q86" s="39"/>
      <c r="R86" s="39"/>
      <c r="S86" s="130"/>
      <c r="T86" s="141"/>
    </row>
    <row r="87" spans="2:20" x14ac:dyDescent="0.3">
      <c r="B87" s="58" t="s">
        <v>181</v>
      </c>
      <c r="C87" s="59"/>
      <c r="D87" s="60"/>
      <c r="E87" s="60"/>
      <c r="F87" s="51">
        <v>0</v>
      </c>
      <c r="H87" s="37" t="s">
        <v>181</v>
      </c>
      <c r="I87" s="38"/>
      <c r="J87" s="39"/>
      <c r="K87" s="39"/>
      <c r="L87" s="130">
        <v>0</v>
      </c>
      <c r="M87" s="46">
        <f>L87-F87</f>
        <v>0</v>
      </c>
      <c r="O87" s="37" t="s">
        <v>181</v>
      </c>
      <c r="P87" s="38"/>
      <c r="Q87" s="39"/>
      <c r="R87" s="39"/>
      <c r="S87" s="130">
        <v>0</v>
      </c>
      <c r="T87" s="141">
        <f>S87-L87</f>
        <v>0</v>
      </c>
    </row>
    <row r="88" spans="2:20" ht="15" thickBot="1" x14ac:dyDescent="0.35">
      <c r="B88" s="23"/>
      <c r="C88" s="35"/>
      <c r="D88" s="24"/>
      <c r="E88" s="24"/>
      <c r="F88" s="46"/>
      <c r="H88" s="23"/>
      <c r="I88" s="35"/>
      <c r="J88" s="24"/>
      <c r="K88" s="24"/>
      <c r="L88" s="129"/>
      <c r="M88" s="46"/>
      <c r="O88" s="23"/>
      <c r="P88" s="35"/>
      <c r="Q88" s="24"/>
      <c r="R88" s="24"/>
      <c r="S88" s="24"/>
      <c r="T88" s="141"/>
    </row>
    <row r="89" spans="2:20" ht="15" thickBot="1" x14ac:dyDescent="0.35">
      <c r="B89" s="47" t="s">
        <v>185</v>
      </c>
      <c r="C89" s="48"/>
      <c r="D89" s="49"/>
      <c r="E89" s="49"/>
      <c r="F89" s="134">
        <f>SUM(F52:F88)</f>
        <v>240042.09243697475</v>
      </c>
      <c r="G89" s="84"/>
      <c r="H89" s="68" t="s">
        <v>185</v>
      </c>
      <c r="I89" s="48"/>
      <c r="J89" s="69"/>
      <c r="K89" s="69"/>
      <c r="L89" s="132">
        <f>SUM(L52:L88)</f>
        <v>552098.47058823507</v>
      </c>
      <c r="M89" s="134">
        <f>SUM(M55:M88)</f>
        <v>312056.37815126032</v>
      </c>
      <c r="O89" s="47" t="s">
        <v>185</v>
      </c>
      <c r="P89" s="48"/>
      <c r="Q89" s="49"/>
      <c r="R89" s="49"/>
      <c r="S89" s="132">
        <f>SUM(S52:S88)</f>
        <v>1175299.3051113447</v>
      </c>
      <c r="T89" s="142">
        <f>SUM(T55:T88)</f>
        <v>623200.83452310949</v>
      </c>
    </row>
    <row r="91" spans="2:20" x14ac:dyDescent="0.25">
      <c r="O91" s="135"/>
    </row>
    <row r="92" spans="2:20" x14ac:dyDescent="0.3">
      <c r="G92" s="84"/>
    </row>
    <row r="93" spans="2:20" x14ac:dyDescent="0.3">
      <c r="G93" s="84"/>
    </row>
  </sheetData>
  <mergeCells count="116">
    <mergeCell ref="O81:O83"/>
    <mergeCell ref="Q81:R81"/>
    <mergeCell ref="Q82:R82"/>
    <mergeCell ref="Q83:R83"/>
    <mergeCell ref="J41:K41"/>
    <mergeCell ref="Q41:R41"/>
    <mergeCell ref="L53:L54"/>
    <mergeCell ref="M53:M54"/>
    <mergeCell ref="Q75:R75"/>
    <mergeCell ref="Q76:R76"/>
    <mergeCell ref="Q77:R77"/>
    <mergeCell ref="Q78:R78"/>
    <mergeCell ref="Q79:R79"/>
    <mergeCell ref="Q80:R80"/>
    <mergeCell ref="Q62:R62"/>
    <mergeCell ref="Q63:R63"/>
    <mergeCell ref="Q67:R67"/>
    <mergeCell ref="Q68:R68"/>
    <mergeCell ref="Q69:R69"/>
    <mergeCell ref="O73:O74"/>
    <mergeCell ref="Q73:R73"/>
    <mergeCell ref="Q74:R74"/>
    <mergeCell ref="O45:R45"/>
    <mergeCell ref="O47:R47"/>
    <mergeCell ref="O51:T51"/>
    <mergeCell ref="Q55:R55"/>
    <mergeCell ref="Q56:R56"/>
    <mergeCell ref="Q57:R57"/>
    <mergeCell ref="S53:S54"/>
    <mergeCell ref="T53:T54"/>
    <mergeCell ref="Q28:R28"/>
    <mergeCell ref="Q33:R33"/>
    <mergeCell ref="Q38:R38"/>
    <mergeCell ref="Q42:R42"/>
    <mergeCell ref="O43:R43"/>
    <mergeCell ref="O2:T2"/>
    <mergeCell ref="O6:R6"/>
    <mergeCell ref="Q8:R8"/>
    <mergeCell ref="Q13:R13"/>
    <mergeCell ref="Q18:R18"/>
    <mergeCell ref="O26:R26"/>
    <mergeCell ref="S6:S7"/>
    <mergeCell ref="T6:T7"/>
    <mergeCell ref="J78:K78"/>
    <mergeCell ref="J57:K57"/>
    <mergeCell ref="J62:K62"/>
    <mergeCell ref="J63:K63"/>
    <mergeCell ref="J67:K67"/>
    <mergeCell ref="J68:K68"/>
    <mergeCell ref="J69:K69"/>
    <mergeCell ref="H43:K43"/>
    <mergeCell ref="H45:K45"/>
    <mergeCell ref="H47:K47"/>
    <mergeCell ref="H51:M51"/>
    <mergeCell ref="J55:K55"/>
    <mergeCell ref="J56:K56"/>
    <mergeCell ref="H2:M2"/>
    <mergeCell ref="H6:K6"/>
    <mergeCell ref="J8:K8"/>
    <mergeCell ref="J81:K81"/>
    <mergeCell ref="J82:K82"/>
    <mergeCell ref="J83:K83"/>
    <mergeCell ref="H73:H74"/>
    <mergeCell ref="J73:K73"/>
    <mergeCell ref="J74:K74"/>
    <mergeCell ref="J75:K75"/>
    <mergeCell ref="J76:K76"/>
    <mergeCell ref="J77:K77"/>
    <mergeCell ref="J13:K13"/>
    <mergeCell ref="J18:K18"/>
    <mergeCell ref="H26:K26"/>
    <mergeCell ref="M6:M7"/>
    <mergeCell ref="L6:L7"/>
    <mergeCell ref="D76:E76"/>
    <mergeCell ref="D79:E79"/>
    <mergeCell ref="D81:E81"/>
    <mergeCell ref="D82:E82"/>
    <mergeCell ref="J33:K33"/>
    <mergeCell ref="J38:K38"/>
    <mergeCell ref="J42:K42"/>
    <mergeCell ref="J28:K28"/>
    <mergeCell ref="B45:E45"/>
    <mergeCell ref="B47:E47"/>
    <mergeCell ref="D8:E8"/>
    <mergeCell ref="D13:E13"/>
    <mergeCell ref="D18:E18"/>
    <mergeCell ref="D28:E28"/>
    <mergeCell ref="D33:E33"/>
    <mergeCell ref="D38:E38"/>
    <mergeCell ref="J79:K79"/>
    <mergeCell ref="J80:K80"/>
    <mergeCell ref="H81:H83"/>
    <mergeCell ref="D83:E83"/>
    <mergeCell ref="D77:E77"/>
    <mergeCell ref="D78:E78"/>
    <mergeCell ref="D80:E80"/>
    <mergeCell ref="B81:B83"/>
    <mergeCell ref="B2:F2"/>
    <mergeCell ref="B51:F51"/>
    <mergeCell ref="D67:E67"/>
    <mergeCell ref="D68:E68"/>
    <mergeCell ref="D69:E69"/>
    <mergeCell ref="D73:E73"/>
    <mergeCell ref="D74:E74"/>
    <mergeCell ref="D75:E75"/>
    <mergeCell ref="D55:E55"/>
    <mergeCell ref="D56:E56"/>
    <mergeCell ref="D57:E57"/>
    <mergeCell ref="D62:E62"/>
    <mergeCell ref="D63:E63"/>
    <mergeCell ref="B73:B74"/>
    <mergeCell ref="D42:E42"/>
    <mergeCell ref="D41:E41"/>
    <mergeCell ref="B6:E6"/>
    <mergeCell ref="B26:E26"/>
    <mergeCell ref="B43:E43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4"/>
  <sheetViews>
    <sheetView topLeftCell="A4" workbookViewId="0">
      <selection activeCell="B3" sqref="B3:E24"/>
    </sheetView>
  </sheetViews>
  <sheetFormatPr baseColWidth="10" defaultRowHeight="13.8" x14ac:dyDescent="0.25"/>
  <cols>
    <col min="1" max="1" width="11.5546875" style="7"/>
    <col min="2" max="2" width="24" style="7" bestFit="1" customWidth="1"/>
    <col min="3" max="16384" width="11.5546875" style="7"/>
  </cols>
  <sheetData>
    <row r="3" spans="2:5" ht="14.4" x14ac:dyDescent="0.25">
      <c r="B3" s="21"/>
      <c r="C3" s="153" t="s">
        <v>2</v>
      </c>
      <c r="D3" s="154" t="s">
        <v>3</v>
      </c>
      <c r="E3" s="153" t="s">
        <v>4</v>
      </c>
    </row>
    <row r="4" spans="2:5" ht="14.4" x14ac:dyDescent="0.25">
      <c r="B4" s="9" t="s">
        <v>266</v>
      </c>
      <c r="C4" s="155"/>
      <c r="D4" s="156"/>
      <c r="E4" s="156"/>
    </row>
    <row r="5" spans="2:5" ht="14.4" x14ac:dyDescent="0.25">
      <c r="B5" s="8" t="s">
        <v>267</v>
      </c>
      <c r="C5" s="157">
        <f>SUM(Bilanzen!F55:F63)/Bilanzen!F89</f>
        <v>0.16432688678655752</v>
      </c>
      <c r="D5" s="157">
        <f>SUM(Bilanzen!L55:L63)/Bilanzen!L89</f>
        <v>0.47901542451445517</v>
      </c>
      <c r="E5" s="157">
        <f>SUM(Bilanzen!S55:S63)/Bilanzen!S89</f>
        <v>0.6566102587985857</v>
      </c>
    </row>
    <row r="6" spans="2:5" ht="14.4" x14ac:dyDescent="0.25">
      <c r="B6" s="8" t="s">
        <v>268</v>
      </c>
      <c r="C6" s="157">
        <f>SUM(Bilanzen!F65:F88)/Bilanzen!F89</f>
        <v>0.83567311321344251</v>
      </c>
      <c r="D6" s="157">
        <f>SUM(Bilanzen!L65:L88)/Bilanzen!L89</f>
        <v>0.52098457548554478</v>
      </c>
      <c r="E6" s="157">
        <f>SUM(Bilanzen!S65:S88)/Bilanzen!S89</f>
        <v>0.34338974120141424</v>
      </c>
    </row>
    <row r="7" spans="2:5" ht="14.4" x14ac:dyDescent="0.25">
      <c r="B7" s="8" t="s">
        <v>269</v>
      </c>
      <c r="C7" s="157">
        <f>SUM(Bilanzen!F8:F25)/Bilanzen!F49</f>
        <v>0.71179589520928976</v>
      </c>
      <c r="D7" s="157">
        <f>SUM(Bilanzen!L8:L25)/Bilanzen!L49</f>
        <v>0.23872913800152762</v>
      </c>
      <c r="E7" s="157">
        <f>SUM(Bilanzen!S8:S25)/Bilanzen!S49</f>
        <v>7.8910109913468474E-2</v>
      </c>
    </row>
    <row r="8" spans="2:5" ht="14.4" x14ac:dyDescent="0.25">
      <c r="B8" s="8" t="s">
        <v>270</v>
      </c>
      <c r="C8" s="157">
        <f>SUM(Bilanzen!F26:F48)/Bilanzen!F49</f>
        <v>0.28820410479071029</v>
      </c>
      <c r="D8" s="157">
        <f>SUM(Bilanzen!L26:L48)/Bilanzen!L49</f>
        <v>0.76127086199847238</v>
      </c>
      <c r="E8" s="157">
        <f>SUM(Bilanzen!S26:S48)/Bilanzen!S49</f>
        <v>0.92108989008653153</v>
      </c>
    </row>
    <row r="9" spans="2:5" ht="14.4" x14ac:dyDescent="0.25">
      <c r="B9" s="8"/>
      <c r="C9" s="157"/>
      <c r="D9" s="157"/>
      <c r="E9" s="157"/>
    </row>
    <row r="10" spans="2:5" ht="14.4" x14ac:dyDescent="0.25">
      <c r="B10" s="9" t="s">
        <v>271</v>
      </c>
      <c r="C10" s="157"/>
      <c r="D10" s="157"/>
      <c r="E10" s="157"/>
    </row>
    <row r="11" spans="2:5" ht="14.4" x14ac:dyDescent="0.25">
      <c r="B11" s="8" t="s">
        <v>272</v>
      </c>
      <c r="C11" s="157">
        <f>SUM(Bilanzen!F8:F25)/SUM(Bilanzen!F55:F63)</f>
        <v>4.3315857118844763</v>
      </c>
      <c r="D11" s="157">
        <f>SUM(Bilanzen!L8:L25)/SUM(Bilanzen!L55:L63)</f>
        <v>0.49837466669903552</v>
      </c>
      <c r="E11" s="157">
        <f>SUM(Bilanzen!S8:S25)/SUM(Bilanzen!S55:S63)</f>
        <v>0.12017800683570416</v>
      </c>
    </row>
    <row r="12" spans="2:5" ht="14.4" x14ac:dyDescent="0.25">
      <c r="B12" s="8" t="s">
        <v>273</v>
      </c>
      <c r="C12" s="157">
        <f>SUM(Bilanzen!F8:F25)/SUM(Bilanzen!F55:F75)</f>
        <v>0.71179599488311041</v>
      </c>
      <c r="D12" s="157">
        <f>SUM(Bilanzen!L8:L25)/SUM(Bilanzen!L55:L75)</f>
        <v>0.23872915253608862</v>
      </c>
      <c r="E12" s="157">
        <f>SUM(Bilanzen!S8:S25)/SUM(Bilanzen!S55:S75)</f>
        <v>7.8910112170289912E-2</v>
      </c>
    </row>
    <row r="13" spans="2:5" ht="14.4" x14ac:dyDescent="0.25">
      <c r="B13" s="8"/>
      <c r="C13" s="157"/>
      <c r="D13" s="157"/>
      <c r="E13" s="157"/>
    </row>
    <row r="14" spans="2:5" ht="14.4" x14ac:dyDescent="0.25">
      <c r="B14" s="8"/>
      <c r="C14" s="157"/>
      <c r="D14" s="157"/>
      <c r="E14" s="157"/>
    </row>
    <row r="15" spans="2:5" ht="14.4" x14ac:dyDescent="0.25">
      <c r="B15" s="9" t="s">
        <v>274</v>
      </c>
      <c r="C15" s="157"/>
      <c r="D15" s="157"/>
      <c r="E15" s="157"/>
    </row>
    <row r="16" spans="2:5" ht="14.4" x14ac:dyDescent="0.25">
      <c r="B16" s="8" t="s">
        <v>275</v>
      </c>
      <c r="C16" s="158" t="s">
        <v>283</v>
      </c>
      <c r="D16" s="158" t="s">
        <v>283</v>
      </c>
      <c r="E16" s="158" t="s">
        <v>283</v>
      </c>
    </row>
    <row r="17" spans="2:5" ht="14.4" x14ac:dyDescent="0.25">
      <c r="B17" s="8" t="s">
        <v>276</v>
      </c>
      <c r="C17" s="157">
        <f>SUM(Bilanzen!F34:F41)/SUM(Bilanzen!F75:F83)</f>
        <v>0.35296492882867436</v>
      </c>
      <c r="D17" s="157">
        <f>SUM(Bilanzen!L34:L41)/SUM(Bilanzen!L75:L83)</f>
        <v>2.1890442927170866</v>
      </c>
      <c r="E17" s="157">
        <f>SUM(Bilanzen!S34:S41)/SUM(Bilanzen!S75:S83)</f>
        <v>5.7582783974722878</v>
      </c>
    </row>
    <row r="18" spans="2:5" ht="14.4" x14ac:dyDescent="0.25">
      <c r="B18" s="8" t="s">
        <v>277</v>
      </c>
      <c r="C18" s="157">
        <f>SUM(Bilanzen!L29:L41)/SUM(Bilanzen!L73:L83)</f>
        <v>2.1890442927170866</v>
      </c>
      <c r="D18" s="157">
        <f>SUM(Bilanzen!L29:L41)/SUM(Bilanzen!L73:L83)</f>
        <v>2.1890442927170866</v>
      </c>
      <c r="E18" s="157">
        <f>SUM(Bilanzen!S29:S41)/SUM(Bilanzen!S73:S83)</f>
        <v>5.7582783974722878</v>
      </c>
    </row>
    <row r="19" spans="2:5" ht="14.4" x14ac:dyDescent="0.25">
      <c r="B19" s="8"/>
      <c r="C19" s="157"/>
      <c r="D19" s="157"/>
      <c r="E19" s="157"/>
    </row>
    <row r="20" spans="2:5" ht="14.4" x14ac:dyDescent="0.25">
      <c r="B20" s="9" t="s">
        <v>278</v>
      </c>
      <c r="C20" s="157"/>
      <c r="D20" s="157"/>
      <c r="E20" s="157"/>
    </row>
    <row r="21" spans="2:5" ht="14.4" x14ac:dyDescent="0.25">
      <c r="B21" s="8" t="s">
        <v>279</v>
      </c>
      <c r="C21" s="157">
        <f>('Gewinn- und Verlustrechnung'!D20-SUM('Gewinn- und Verlustrechnung'!D22:D26))/SUM(Bilanzen!F55:F63)</f>
        <v>-3.0562428752115238</v>
      </c>
      <c r="D21" s="157">
        <f>('Gewinn- und Verlustrechnung'!E20-SUM('Gewinn- und Verlustrechnung'!E22:E26))/SUM(Bilanzen!L55:L63)</f>
        <v>1.2124655335830614</v>
      </c>
      <c r="E21" s="157">
        <f>('Gewinn- und Verlustrechnung'!G20-SUM('Gewinn- und Verlustrechnung'!G22:G26))/SUM(Bilanzen!S55:S63)</f>
        <v>0.93666308296721379</v>
      </c>
    </row>
    <row r="22" spans="2:5" ht="14.4" x14ac:dyDescent="0.25">
      <c r="B22" s="8" t="s">
        <v>280</v>
      </c>
      <c r="C22" s="157">
        <f>'Gewinn- und Verlustrechnung'!D20/Bilanzen!F89</f>
        <v>-0.47722726080709466</v>
      </c>
      <c r="D22" s="157">
        <f>'Gewinn- und Verlustrechnung'!E20/Bilanzen!L89</f>
        <v>0.591657318833545</v>
      </c>
      <c r="E22" s="157">
        <f>'Gewinn- und Verlustrechnung'!G20/Bilanzen!S89</f>
        <v>0.62012767188668738</v>
      </c>
    </row>
    <row r="23" spans="2:5" ht="14.4" x14ac:dyDescent="0.25">
      <c r="B23" s="8" t="s">
        <v>281</v>
      </c>
      <c r="C23" s="157">
        <f>'Gewinn- und Verlustrechnung'!D5/('Gewinn- und Verlustrechnung'!D20-'Gewinn- und Verlustrechnung'!D26)</f>
        <v>-1.786700000927087</v>
      </c>
      <c r="D23" s="157">
        <f>'Gewinn- und Verlustrechnung'!E5/('Gewinn- und Verlustrechnung'!E20-'Gewinn- und Verlustrechnung'!E26)</f>
        <v>2.1271711760338725</v>
      </c>
      <c r="E23" s="157">
        <f>'Gewinn- und Verlustrechnung'!G5/('Gewinn- und Verlustrechnung'!G20-'Gewinn- und Verlustrechnung'!G26)</f>
        <v>1.614091300718683</v>
      </c>
    </row>
    <row r="24" spans="2:5" ht="14.4" x14ac:dyDescent="0.25">
      <c r="B24" s="8" t="s">
        <v>282</v>
      </c>
      <c r="C24" s="157">
        <f>'Gewinn- und Verlustrechnung'!D30/Bilanzen!L89</f>
        <v>-0.21835711684485479</v>
      </c>
      <c r="D24" s="157">
        <f>'Gewinn- und Verlustrechnung'!E30/Bilanzen!L89</f>
        <v>0.40756916655639214</v>
      </c>
      <c r="E24" s="157">
        <f>'Gewinn- und Verlustrechnung'!G30/Bilanzen!S89</f>
        <v>0.43159210205122822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Mitarbeiterplan</vt:lpstr>
      <vt:lpstr>Entwicklung Kundenzahl</vt:lpstr>
      <vt:lpstr>Abschreibungen Anlagevermögen</vt:lpstr>
      <vt:lpstr>Kapitalbedarfsplan</vt:lpstr>
      <vt:lpstr>Liquiditätsplan</vt:lpstr>
      <vt:lpstr>Gewinn- und Verlustrechnung</vt:lpstr>
      <vt:lpstr>Bilanzen</vt:lpstr>
      <vt:lpstr>Bilanzanalyse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Plum</dc:creator>
  <cp:lastModifiedBy>Bernhard Plum</cp:lastModifiedBy>
  <dcterms:created xsi:type="dcterms:W3CDTF">2017-01-16T14:05:10Z</dcterms:created>
  <dcterms:modified xsi:type="dcterms:W3CDTF">2017-02-21T10:37:49Z</dcterms:modified>
</cp:coreProperties>
</file>